
<file path=[Content_Types].xml><?xml version="1.0" encoding="utf-8"?>
<Types xmlns="http://schemas.openxmlformats.org/package/2006/content-types">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sharedStrings.xml" ContentType="application/vnd.openxmlformats-officedocument.spreadsheetml.sharedStrings+xml"/>
  <Override PartName="/xl/worksheets/_rels/sheet13.xml.rels" ContentType="application/vnd.openxmlformats-package.relationships+xml"/>
  <Override PartName="/xl/worksheets/sheet13.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9.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Main calculation" sheetId="1" state="visible" r:id="rId2"/>
    <sheet name="Construction Investment" sheetId="2" state="visible" r:id="rId3"/>
    <sheet name="Time" sheetId="3" state="visible" r:id="rId4"/>
    <sheet name="Op cost New Public Vehicles" sheetId="4" state="visible" r:id="rId5"/>
    <sheet name="Op cost NO New Vehicles" sheetId="5" state="visible" r:id="rId6"/>
    <sheet name="Pollutants New Vehicles" sheetId="6" state="visible" r:id="rId7"/>
    <sheet name="Pollutants Public Transport" sheetId="7" state="visible" r:id="rId8"/>
    <sheet name="Pollutants Private Cars" sheetId="8" state="visible" r:id="rId9"/>
    <sheet name="Safety" sheetId="9" state="visible" r:id="rId10"/>
    <sheet name="Noise" sheetId="10" state="visible" r:id="rId11"/>
    <sheet name="Health" sheetId="11" state="visible" r:id="rId12"/>
    <sheet name="Ticket income and user charges" sheetId="12" state="visible" r:id="rId13"/>
    <sheet name="Monetary Values" sheetId="13" state="visible" r:id="rId14"/>
  </sheets>
  <definedNames>
    <definedName function="false" hidden="false" name="Country" vbProcedure="false">'Monetary Values'!$D$4:$G$4</definedName>
  </definedName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<sst xmlns="http://schemas.openxmlformats.org/spreadsheetml/2006/main" count="499" uniqueCount="294">
  <si>
    <t xml:space="preserve">How does the spreadsheet (CBA) work?</t>
  </si>
  <si>
    <t xml:space="preserve">All other data should be input under the sheet for each impact. The cells marked in yellow are for input data.  If you don't have data for each impact, please leave the cell and sheet empty. </t>
  </si>
  <si>
    <t xml:space="preserve">Enter data only in yellow cells.</t>
  </si>
  <si>
    <t xml:space="preserve">Orange cells are inputs to the main calculation sheet from calculations on the other sheets.  </t>
  </si>
  <si>
    <t xml:space="preserve">Blue cells are calculations in the main sheet and outcome of the CBA</t>
  </si>
  <si>
    <t xml:space="preserve">Brown cells are input values that you should not change</t>
  </si>
  <si>
    <t xml:space="preserve">Where can I see the results from the CBA?</t>
  </si>
  <si>
    <t xml:space="preserve">The main calculation sheet (this sheet). This is where the results of the calculation are shown. Results are shown in local currency.</t>
  </si>
  <si>
    <t xml:space="preserve">Step by step instructions for this sheet</t>
  </si>
  <si>
    <t xml:space="preserve">1. Enter your country, the spreadsheet. The CBA automatically uses values converted to your currency and purchasing power.</t>
  </si>
  <si>
    <t xml:space="preserve">2. Enter size of city</t>
  </si>
  <si>
    <t xml:space="preserve">3. Enter starting year (the year the measure is implemented)</t>
  </si>
  <si>
    <t xml:space="preserve">Indata</t>
  </si>
  <si>
    <t xml:space="preserve">Outcome</t>
  </si>
  <si>
    <t xml:space="preserve">Country</t>
  </si>
  <si>
    <t xml:space="preserve">Germany</t>
  </si>
  <si>
    <t xml:space="preserve">Total benefit</t>
  </si>
  <si>
    <t xml:space="preserve">Size of city (population)</t>
  </si>
  <si>
    <t xml:space="preserve">Total cost</t>
  </si>
  <si>
    <t xml:space="preserve">Starting year</t>
  </si>
  <si>
    <t xml:space="preserve">Net Present Value</t>
  </si>
  <si>
    <t xml:space="preserve">Finishing year</t>
  </si>
  <si>
    <t xml:space="preserve">Benefit-Cost Ratio</t>
  </si>
  <si>
    <t xml:space="preserve">The BC-ratio should be positive. If not, contact Lund.</t>
  </si>
  <si>
    <t xml:space="preserve">Annualisation factor</t>
  </si>
  <si>
    <t xml:space="preserve">Discount rate</t>
  </si>
  <si>
    <t xml:space="preserve">CONSTRUCTION AND OPERATING COSTS</t>
  </si>
  <si>
    <t xml:space="preserve">DO NOTHING</t>
  </si>
  <si>
    <t xml:space="preserve">DO SOMETHING</t>
  </si>
  <si>
    <t xml:space="preserve">Year number</t>
  </si>
  <si>
    <t xml:space="preserve">Year</t>
  </si>
  <si>
    <t xml:space="preserve">Value of travel time on the network, per year</t>
  </si>
  <si>
    <t xml:space="preserve">Vehicle operating cost on the network, per year</t>
  </si>
  <si>
    <t xml:space="preserve">Value of air pollution on the network, per year</t>
  </si>
  <si>
    <t xml:space="preserve">Value of noise on the network, per year</t>
  </si>
  <si>
    <t xml:space="preserve">Value of accidents on the network, per year</t>
  </si>
  <si>
    <t xml:space="preserve">Total value of DN impacts  (discounted)</t>
  </si>
  <si>
    <t xml:space="preserve">Total value of DS impacts (discounted)</t>
  </si>
  <si>
    <t xml:space="preserve">Total benefit (discounted) (=DN impact minus DS impact)</t>
  </si>
  <si>
    <t xml:space="preserve">Investment cost</t>
  </si>
  <si>
    <t xml:space="preserve">Operating cost </t>
  </si>
  <si>
    <t xml:space="preserve">Total costs (discounted)</t>
  </si>
  <si>
    <t xml:space="preserve">Net present value (total benefits minus total costs)</t>
  </si>
  <si>
    <t xml:space="preserve">TOTAL BENEFIT</t>
  </si>
  <si>
    <t xml:space="preserve">TOTAL COST</t>
  </si>
  <si>
    <t xml:space="preserve">The total cost should be positive. If not, contact Lund.</t>
  </si>
  <si>
    <t xml:space="preserve">INVESTMENT AND OPERATING COSTS OF THE MEASURE</t>
  </si>
  <si>
    <t xml:space="preserve">What is the investment cost?</t>
  </si>
  <si>
    <r>
      <rPr>
        <sz val="11"/>
        <color rgb="FF000000"/>
        <rFont val="Calibri"/>
        <family val="2"/>
      </rPr>
      <t xml:space="preserve">Please enter here the investment costs and operating cost for the measure. The investment cost is the cost for planning, designing and constructing of the measure. Enter all the construction and investment costs the year they are being made and in </t>
    </r>
    <r>
      <rPr>
        <sz val="11"/>
        <rFont val="Calibri"/>
        <family val="2"/>
      </rPr>
      <t xml:space="preserve">cash prices (e.g. the price that you pay the year you pay it)</t>
    </r>
    <r>
      <rPr>
        <sz val="11"/>
        <color rgb="FF000000"/>
        <rFont val="Calibri"/>
        <family val="2"/>
      </rPr>
      <t xml:space="preserve">.</t>
    </r>
  </si>
  <si>
    <t xml:space="preserve">What is the operating cost?</t>
  </si>
  <si>
    <t xml:space="preserve">Operating costs will of course be incurred every year.  You should enter herethe operating cost of the infrastructure. Vehicle operating costs will be enter in another sheet, 'Op cost new vehicles' and 'Op cost other vehicles'. However if you are leasing vehicles or infrastructure, show this as an operating cost on this sheet. If you are unsure, consult Lund.</t>
  </si>
  <si>
    <t xml:space="preserve">What is the investment in the DO NOTHING option?</t>
  </si>
  <si>
    <t xml:space="preserve">For some measures the DO NOTHING option might be actually be a DO MINIMUM option. So for example if you would have introduced Euro 5 buses without CIVITAS, but CNG with CIVITAS, then for the DO NOTHING you should enter the investment and operating cost for the Euro 5 buses from the year you would have introduced them. For the DO SOMETHING you should enter the investment and operating cost for CNG from the year that you would have introduced them. </t>
  </si>
  <si>
    <t xml:space="preserve">Another example would be if the DO SOMETHING is to convert a 4-lane city street to a 2-lane + 2 bus lane street. Then you have an investment and operating cost for the DO SOMETHING, but you also have an operating cost for the DO NOTHING, that is the maintaining cost for the 4-lane street.</t>
  </si>
  <si>
    <t xml:space="preserve">Step by step instructions for this sheet:</t>
  </si>
  <si>
    <t xml:space="preserve">1. Enter the investment cost for both DO NOTHING and DO SOMETHING.</t>
  </si>
  <si>
    <t xml:space="preserve">2. Enter operating costs for borth options</t>
  </si>
  <si>
    <t xml:space="preserve">OBS! It is only the operating cost for the infrastructure, not for the vehicles, that you should enter here.</t>
  </si>
  <si>
    <t xml:space="preserve">OBS! Remember to exclude VAT from all costs.</t>
  </si>
  <si>
    <t xml:space="preserve">Investment cost of the measure (excluding VAT)</t>
  </si>
  <si>
    <t xml:space="preserve">Operating cost of the masure (excluding VAT)</t>
  </si>
  <si>
    <t xml:space="preserve">VALUE OF TIME</t>
  </si>
  <si>
    <t xml:space="preserve">Please , for the area that you consider to be affected by the measure.  For example, a tram scheme would affect travel time over a whole city (network).  A new pedestrian crossing would affect travel times only on a single road (link), for vehicles, and for pedestrians crossing that road.  Some measures e.g. clean fuelled vehicles are unlikely to affect travel times at all so in this case you do not need to fill in this sheet.</t>
  </si>
  <si>
    <t xml:space="preserve">1. Enter the number users of each mode</t>
  </si>
  <si>
    <t xml:space="preserve">2. Enter the traveltime (in minutes) for different modes </t>
  </si>
  <si>
    <t xml:space="preserve">3. Enter the average vehicle occupancy for public transport and car</t>
  </si>
  <si>
    <t xml:space="preserve">OBS! Here it is important to understand and define "the network" correctly. See the overall insrtuctions in the main calculation sheet!</t>
  </si>
  <si>
    <t xml:space="preserve">OBS! Only enter data between the starting year and finishing year.</t>
  </si>
  <si>
    <t xml:space="preserve">Type</t>
  </si>
  <si>
    <t xml:space="preserve">Time value</t>
  </si>
  <si>
    <t xml:space="preserve">Mode</t>
  </si>
  <si>
    <t xml:space="preserve">Average value of time (per hour)</t>
  </si>
  <si>
    <t xml:space="preserve">Car</t>
  </si>
  <si>
    <t xml:space="preserve">Bus ride</t>
  </si>
  <si>
    <t xml:space="preserve">Bus </t>
  </si>
  <si>
    <t xml:space="preserve">Bus, wait</t>
  </si>
  <si>
    <t xml:space="preserve">Bus, change</t>
  </si>
  <si>
    <t xml:space="preserve">Bike, mix</t>
  </si>
  <si>
    <t xml:space="preserve">Bike</t>
  </si>
  <si>
    <t xml:space="preserve">Bike, sep lane</t>
  </si>
  <si>
    <t xml:space="preserve">Walk</t>
  </si>
  <si>
    <t xml:space="preserve">Walk, poor env</t>
  </si>
  <si>
    <t xml:space="preserve">Pedestrians</t>
  </si>
  <si>
    <t xml:space="preserve">Bikes</t>
  </si>
  <si>
    <t xml:space="preserve">Public Transport</t>
  </si>
  <si>
    <t xml:space="preserve">Cars</t>
  </si>
  <si>
    <t xml:space="preserve">Pedestrians per day (affected by the measure)</t>
  </si>
  <si>
    <t xml:space="preserve">Travel time on link or network per pedestrian, minutes (that is affected by measure)</t>
  </si>
  <si>
    <t xml:space="preserve">Bikes per day (affected by the measure)</t>
  </si>
  <si>
    <t xml:space="preserve">Travel time on link or network per cyclist, minutes</t>
  </si>
  <si>
    <t xml:space="preserve">Vehicles per day (affected by the measure)</t>
  </si>
  <si>
    <t xml:space="preserve">Travel time on link or network per bus, minutes (that is affected by measure)</t>
  </si>
  <si>
    <t xml:space="preserve">Average vehicle occupancy</t>
  </si>
  <si>
    <t xml:space="preserve">Cars per day (affected by the measure)</t>
  </si>
  <si>
    <t xml:space="preserve">Travel time on link or network per car occupant minutes (that is affected by measure)</t>
  </si>
  <si>
    <t xml:space="preserve">Total value of time on network per year</t>
  </si>
  <si>
    <t xml:space="preserve">OPERATING COST - NEW PUBLIC VEHICLES</t>
  </si>
  <si>
    <t xml:space="preserve">When should I fill in this sheet?</t>
  </si>
  <si>
    <t xml:space="preserve">Fill in this sheet if the measure introduces new public vehicles . If the measure does not introduce new vehicles you should use the sheet 'Op cost NO New Vehicles' instead.</t>
  </si>
  <si>
    <t xml:space="preserve">1. Enter the distance travelled per vehicle per year</t>
  </si>
  <si>
    <t xml:space="preserve">2. Enter the number of vehicles affected by the measure (e.g. if you replace samller vehicle with larges ones, you should enter fewer vehicles in the DO SOMETHING alternative)</t>
  </si>
  <si>
    <t xml:space="preserve">3. Enter the cost per km for the standard factors</t>
  </si>
  <si>
    <t xml:space="preserve">OBS! All costs should be excluiding VAT to be comparable to the monetary values.</t>
  </si>
  <si>
    <t xml:space="preserve">If you use the other sheet  'Op cost NO New Vehicles', please leave this sheet blank, so it does not affect the outcome of the CBA.</t>
  </si>
  <si>
    <t xml:space="preserve">Distance travelled per vehicle per year</t>
  </si>
  <si>
    <t xml:space="preserve">Number of vehicles (being replaced)</t>
  </si>
  <si>
    <t xml:space="preserve">Fuel cost per km (excluding VAT)</t>
  </si>
  <si>
    <t xml:space="preserve">Tyre cost per km (excluding VAT)</t>
  </si>
  <si>
    <t xml:space="preserve">Maintenance cost per km (excluding VAT)</t>
  </si>
  <si>
    <t xml:space="preserve">Oil cost per km (excluding VAT)</t>
  </si>
  <si>
    <t xml:space="preserve">Insurance cost per km (excluding VAT)</t>
  </si>
  <si>
    <t xml:space="preserve">Total operating cost</t>
  </si>
  <si>
    <t xml:space="preserve">OPERATING COST - NO NEW VEHICLES</t>
  </si>
  <si>
    <t xml:space="preserve">Hidden cells, L-O</t>
  </si>
  <si>
    <t xml:space="preserve">This is a simplified option to calculate the operational costs per year (perational cost for vehicles). Only use this option if the measure does not introduce a new type of vehicle in your city. This table uses one operating cost per vehicle km, for all vehicles, averaged for urban networks.</t>
  </si>
  <si>
    <t xml:space="preserve">1. Enter the total vehicle distance per day on the network for all vehicles.</t>
  </si>
  <si>
    <t xml:space="preserve">OBS! If you have actual data for the proportion of total traffic on your network that is bus, car and truck, consult with Lund</t>
  </si>
  <si>
    <t xml:space="preserve">Cost/veh km</t>
  </si>
  <si>
    <t xml:space="preserve">Total vehicle km on the network per day</t>
  </si>
  <si>
    <t xml:space="preserve">Total operating costs per year</t>
  </si>
  <si>
    <t xml:space="preserve">POLLUTANTS - NEW VEHICLES</t>
  </si>
  <si>
    <t xml:space="preserve">This sheet relates to the new vehicles that are introduced, e.g. New rubbish trucks, new buses etc. The DO SOMETHING is derived from the emissions from the new vehicles.  The DO NOTHING is derived from the emissions from the old vehicles. You have to enter the emissions factors in g/litre of fuel used for the new and the old vehicles; and you have to enter the total fuel consumption of the new and the old vehicles.</t>
  </si>
  <si>
    <t xml:space="preserve">What do I do if I do not have all the data for this sheet?</t>
  </si>
  <si>
    <t xml:space="preserve">If you do not know the emissions factors for the old vehicles you can consult Lund. Also, if you have the emission factors in a different unit than g/litre you can contact Lund for guidance. If the new vehicles are electric then you need to know the KWh used by new vehicles for a given period e.g. day, year.</t>
  </si>
  <si>
    <t xml:space="preserve">1. Enter the emission factors for the new vehicles (the manufacturer should be able to provide these numbers)</t>
  </si>
  <si>
    <t xml:space="preserve">2. Enter the emission factors for the old vehicles</t>
  </si>
  <si>
    <t xml:space="preserve">3. Enter the fuel consumption per year in for both DN and DS.</t>
  </si>
  <si>
    <t xml:space="preserve">Size of city</t>
  </si>
  <si>
    <t xml:space="preserve">Situation</t>
  </si>
  <si>
    <t xml:space="preserve">Particles</t>
  </si>
  <si>
    <t xml:space="preserve">SO2</t>
  </si>
  <si>
    <t xml:space="preserve">Hydrocarbons</t>
  </si>
  <si>
    <t xml:space="preserve">NOx</t>
  </si>
  <si>
    <t xml:space="preserve">CO2</t>
  </si>
  <si>
    <t xml:space="preserve">Large city, city centre</t>
  </si>
  <si>
    <t xml:space="preserve">Large city, suburb</t>
  </si>
  <si>
    <t xml:space="preserve">Large city, average</t>
  </si>
  <si>
    <t xml:space="preserve">Mids-sized city</t>
  </si>
  <si>
    <t xml:space="preserve">Small city</t>
  </si>
  <si>
    <t xml:space="preserve">Value of emission</t>
  </si>
  <si>
    <t xml:space="preserve">New vehicles, emission factor  (g/litre)</t>
  </si>
  <si>
    <t xml:space="preserve">Old vehicles, emission factor (g/litre)</t>
  </si>
  <si>
    <t xml:space="preserve">Fuel consumption per year</t>
  </si>
  <si>
    <t xml:space="preserve">Value of particles emitted per year</t>
  </si>
  <si>
    <t xml:space="preserve">Value of SO2 emitted per year</t>
  </si>
  <si>
    <t xml:space="preserve">Value of hydrocarbons emitted per year</t>
  </si>
  <si>
    <t xml:space="preserve">Value of NOx emitted per year</t>
  </si>
  <si>
    <t xml:space="preserve">Value of CO2 emitted per year</t>
  </si>
  <si>
    <r>
      <rPr>
        <sz val="11"/>
        <color rgb="FF000000"/>
        <rFont val="Calibri"/>
        <family val="2"/>
      </rPr>
      <t xml:space="preserve">Total value of </t>
    </r>
    <r>
      <rPr>
        <sz val="11"/>
        <rFont val="Calibri"/>
        <family val="2"/>
      </rPr>
      <t xml:space="preserve">pollutants</t>
    </r>
    <r>
      <rPr>
        <sz val="11"/>
        <color rgb="FF000000"/>
        <rFont val="Calibri"/>
        <family val="2"/>
      </rPr>
      <t xml:space="preserve"> per year Total value of </t>
    </r>
    <r>
      <rPr>
        <sz val="11"/>
        <rFont val="Calibri"/>
        <family val="2"/>
      </rPr>
      <t xml:space="preserve">pollutants</t>
    </r>
    <r>
      <rPr>
        <sz val="11"/>
        <color rgb="FF000000"/>
        <rFont val="Calibri"/>
        <family val="2"/>
      </rPr>
      <t xml:space="preserve"> per year </t>
    </r>
  </si>
  <si>
    <t xml:space="preserve">Fuel consumption per day</t>
  </si>
  <si>
    <t xml:space="preserve">POLLUTANTS - PUBLIC TRANSPORT</t>
  </si>
  <si>
    <t xml:space="preserve">Only fill in this sheet if there are more or fewer vehicle km by OTHER PUBLIC TRANSPORT vehicles than those that are themselves part of the measure (e.g. New rubbish trucks or buses)) on the network (e.g. If new pedestrian scheme leads to re-routeing of bus traffic)</t>
  </si>
  <si>
    <t xml:space="preserve">1. Enter the vehicle distance on the network</t>
  </si>
  <si>
    <t xml:space="preserve">2. Enter fuel consumption for Public Transport vehicles </t>
  </si>
  <si>
    <t xml:space="preserve">Value of GHG emissions per PT-vehicle km         </t>
  </si>
  <si>
    <t xml:space="preserve">Value of pollution (Non-GHG) per PT-vehicle km</t>
  </si>
  <si>
    <t xml:space="preserve">PT vehicle km per day</t>
  </si>
  <si>
    <r>
      <rPr>
        <sz val="11"/>
        <color rgb="FF000000"/>
        <rFont val="Calibri"/>
        <family val="2"/>
      </rPr>
      <t xml:space="preserve">Total value of </t>
    </r>
    <r>
      <rPr>
        <sz val="11"/>
        <rFont val="Calibri"/>
        <family val="2"/>
      </rPr>
      <t xml:space="preserve">pollutants</t>
    </r>
    <r>
      <rPr>
        <sz val="11"/>
        <color rgb="FF000000"/>
        <rFont val="Calibri"/>
        <family val="2"/>
      </rPr>
      <t xml:space="preserve"> per yearTotal value of </t>
    </r>
    <r>
      <rPr>
        <sz val="11"/>
        <rFont val="Calibri"/>
        <family val="2"/>
      </rPr>
      <t xml:space="preserve">pollutants</t>
    </r>
    <r>
      <rPr>
        <sz val="11"/>
        <color rgb="FF000000"/>
        <rFont val="Calibri"/>
        <family val="2"/>
      </rPr>
      <t xml:space="preserve"> per year</t>
    </r>
  </si>
  <si>
    <t xml:space="preserve">POLLUTANTS - PRIVATE CARS</t>
  </si>
  <si>
    <t xml:space="preserve">Only fill in this sheet if there are more or fewer vehicle km by OTHER private vehicles (other than those that are themselves part of the measure (e.g. New rubbish trucks or buses)) on the network (e.g. If new bus lane leads to re-routeing of car traffic)</t>
  </si>
  <si>
    <t xml:space="preserve">1. Enter the distance on the network by private cars</t>
  </si>
  <si>
    <t xml:space="preserve">Value of local air quality per car km</t>
  </si>
  <si>
    <t xml:space="preserve">Car km on the network per day</t>
  </si>
  <si>
    <r>
      <rPr>
        <sz val="11"/>
        <color rgb="FF000000"/>
        <rFont val="Calibri"/>
        <family val="2"/>
      </rPr>
      <t xml:space="preserve">Total value of </t>
    </r>
    <r>
      <rPr>
        <sz val="11"/>
        <rFont val="Calibri"/>
        <family val="2"/>
      </rPr>
      <t xml:space="preserve">local air quality</t>
    </r>
    <r>
      <rPr>
        <sz val="11"/>
        <color rgb="FF000000"/>
        <rFont val="Calibri"/>
        <family val="2"/>
      </rPr>
      <t xml:space="preserve"> per yearTotal value of </t>
    </r>
    <r>
      <rPr>
        <sz val="11"/>
        <rFont val="Calibri"/>
        <family val="2"/>
      </rPr>
      <t xml:space="preserve">local air quality</t>
    </r>
    <r>
      <rPr>
        <sz val="11"/>
        <color rgb="FF000000"/>
        <rFont val="Calibri"/>
        <family val="2"/>
      </rPr>
      <t xml:space="preserve"> per year</t>
    </r>
  </si>
  <si>
    <t xml:space="preserve">SAFETY</t>
  </si>
  <si>
    <t xml:space="preserve">What is the differencs between accidents and casualties?</t>
  </si>
  <si>
    <t xml:space="preserve">Accidents are the number of . Casualties are the how many people hat have been injured in traffic accidents. The sheet automatically takes into account that more than one person might be involved/affected by the accident and that there is amterial damage.</t>
  </si>
  <si>
    <t xml:space="preserve">Stpe by step instructions for this sheet</t>
  </si>
  <si>
    <t xml:space="preserve">1. Enter the number of accidents on the network each year</t>
  </si>
  <si>
    <t xml:space="preserve">OBS! You should enter number of accidents and not casualties.</t>
  </si>
  <si>
    <t xml:space="preserve">Total value of average accident        </t>
  </si>
  <si>
    <t xml:space="preserve">Number of accidents on network per year</t>
  </si>
  <si>
    <t xml:space="preserve">Value of accidents on the network per year</t>
  </si>
  <si>
    <t xml:space="preserve">NOISE POLLUTION</t>
  </si>
  <si>
    <t xml:space="preserve">We at Lund will advise you on how to do this if you think this is a significant impact for your meaure.</t>
  </si>
  <si>
    <t xml:space="preserve">Noise</t>
  </si>
  <si>
    <t xml:space="preserve">Vehicle km on the network per day</t>
  </si>
  <si>
    <t xml:space="preserve">Value of noise on the network per year </t>
  </si>
  <si>
    <t xml:space="preserve">HEALTH IMPACTS</t>
  </si>
  <si>
    <t xml:space="preserve">We at Lund will advise you on how to do this if you think that changes in physical activity are a significant impact for your measure. </t>
  </si>
  <si>
    <t xml:space="preserve">Total value of health</t>
  </si>
  <si>
    <t xml:space="preserve">TICKET INCOMES, USER CHARGES</t>
  </si>
  <si>
    <t xml:space="preserve">Ticket income is the money that for example the bus company receives from passengers, or the parking company receives from people paying for parking.</t>
  </si>
  <si>
    <t xml:space="preserve">User charges are the same - the money that passengers pay to buy tickets or parking tickets.</t>
  </si>
  <si>
    <t xml:space="preserve">If you think that the measure does not affect ticket income or parking income, do not fill anything in on this sheet.</t>
  </si>
  <si>
    <t xml:space="preserve">Ticket income (or parking income) on the network, per year</t>
  </si>
  <si>
    <t xml:space="preserve">User charges (usually fares but could be parking income)</t>
  </si>
  <si>
    <t xml:space="preserve">MONETARY VALUES</t>
  </si>
  <si>
    <t xml:space="preserve">These are the monetary values used for all the different impacts in the spreadsheet, converted to local currency and purchasing power.  Only enter different values if you are SURE that you have better ones - consult Lund first.</t>
  </si>
  <si>
    <t xml:space="preserve">Spain</t>
  </si>
  <si>
    <t xml:space="preserve">Poland</t>
  </si>
  <si>
    <t xml:space="preserve">Croatia</t>
  </si>
  <si>
    <t xml:space="preserve">Currency rates: 2013, M1, table values rounded</t>
  </si>
  <si>
    <t xml:space="preserve">GBP</t>
  </si>
  <si>
    <t xml:space="preserve">EURg</t>
  </si>
  <si>
    <t xml:space="preserve">EURs</t>
  </si>
  <si>
    <t xml:space="preserve">PLN</t>
  </si>
  <si>
    <t xml:space="preserve">HRK</t>
  </si>
  <si>
    <t xml:space="preserve">SEK</t>
  </si>
  <si>
    <t xml:space="preserve">PPS 2012</t>
  </si>
  <si>
    <t xml:space="preserve">Currency rates</t>
  </si>
  <si>
    <t xml:space="preserve">Converter</t>
  </si>
  <si>
    <t xml:space="preserve">GDP per capita in PPS, index</t>
  </si>
  <si>
    <t xml:space="preserve">PPS</t>
  </si>
  <si>
    <t xml:space="preserve">Adjusted currency rates</t>
  </si>
  <si>
    <t xml:space="preserve">Period</t>
  </si>
  <si>
    <t xml:space="preserve">type</t>
  </si>
  <si>
    <t xml:space="preserve">year</t>
  </si>
  <si>
    <t xml:space="preserve">TAG unit The Accidents Sub-Objective page 3 average casualties total value</t>
  </si>
  <si>
    <t xml:space="preserve">minor measures</t>
  </si>
  <si>
    <t xml:space="preserve">Average value of prevention per casualty (2010 values and prices)</t>
  </si>
  <si>
    <t xml:space="preserve">source from Tom 2009 value</t>
  </si>
  <si>
    <t xml:space="preserve">buses</t>
  </si>
  <si>
    <t xml:space="preserve">Value of pollution per lorry mile</t>
  </si>
  <si>
    <t xml:space="preserve">https://www.gov.uk/government/uploads/system/uploads/attachment_data/file/51151/msb-technical-report.pdf</t>
  </si>
  <si>
    <t xml:space="preserve">Table 7a, page 43</t>
  </si>
  <si>
    <t xml:space="preserve">minor infrastructure</t>
  </si>
  <si>
    <t xml:space="preserve">http://www.dft.gov.uk/webtag/documents/archive/1208/unit3.9.5.pdf</t>
  </si>
  <si>
    <t xml:space="preserve">Page 11, Table A1</t>
  </si>
  <si>
    <t xml:space="preserve">larger infrastructure</t>
  </si>
  <si>
    <t xml:space="preserve">Operating costs for cars per km</t>
  </si>
  <si>
    <t xml:space="preserve">http://www.theaa.com/resources/Documents/pdf/motoring-advice/running-costs/petrol2013.pdf</t>
  </si>
  <si>
    <t xml:space="preserve">Only running costs, median for normal priced cars</t>
  </si>
  <si>
    <t xml:space="preserve">USD</t>
  </si>
  <si>
    <t xml:space="preserve">SEK/h</t>
  </si>
  <si>
    <t xml:space="preserve">EURg/h</t>
  </si>
  <si>
    <t xml:space="preserve">EURs/h</t>
  </si>
  <si>
    <t xml:space="preserve">PLN/h</t>
  </si>
  <si>
    <t xml:space="preserve">HRK/h</t>
  </si>
  <si>
    <t xml:space="preserve">Non-GHG Air Pollution Costs (per vehicle km)</t>
  </si>
  <si>
    <t xml:space="preserve">http://www.vtpi.org/tca/tca0510.pdf</t>
  </si>
  <si>
    <t xml:space="preserve">Table 5.10.7-1 p 27</t>
  </si>
  <si>
    <t xml:space="preserve">car</t>
  </si>
  <si>
    <t xml:space="preserve">bus ride</t>
  </si>
  <si>
    <t xml:space="preserve">UK pence/km</t>
  </si>
  <si>
    <t xml:space="preserve">% urb traffic</t>
  </si>
  <si>
    <t xml:space="preserve">Billion km urban roads UK</t>
  </si>
  <si>
    <t xml:space="preserve">bus, wait</t>
  </si>
  <si>
    <t xml:space="preserve">Bus</t>
  </si>
  <si>
    <t xml:space="preserve">bus, change</t>
  </si>
  <si>
    <t xml:space="preserve">Car (variable only)</t>
  </si>
  <si>
    <t xml:space="preserve">bike, mix</t>
  </si>
  <si>
    <t xml:space="preserve">Small truck</t>
  </si>
  <si>
    <t xml:space="preserve">bike, sep lane</t>
  </si>
  <si>
    <t xml:space="preserve">Big truck</t>
  </si>
  <si>
    <t xml:space="preserve">walk</t>
  </si>
  <si>
    <t xml:space="preserve">Weighted average op cost per veh km, urban main roads</t>
  </si>
  <si>
    <t xml:space="preserve">walk, poor env</t>
  </si>
  <si>
    <t xml:space="preserve">Trucks</t>
  </si>
  <si>
    <t xml:space="preserve">Small</t>
  </si>
  <si>
    <t xml:space="preserve">Big</t>
  </si>
  <si>
    <t xml:space="preserve">Miles/day</t>
  </si>
  <si>
    <t xml:space="preserve">Traffic safety</t>
  </si>
  <si>
    <t xml:space="preserve">Variable cost/mile</t>
  </si>
  <si>
    <t xml:space="preserve">fatality</t>
  </si>
  <si>
    <t xml:space="preserve">Fixed cost/day</t>
  </si>
  <si>
    <t xml:space="preserve">severe inj</t>
  </si>
  <si>
    <t xml:space="preserve">Cost/km</t>
  </si>
  <si>
    <t xml:space="preserve">minor inj</t>
  </si>
  <si>
    <t xml:space="preserve">property</t>
  </si>
  <si>
    <t xml:space="preserve">Sources - Transport Statistics Great Britain</t>
  </si>
  <si>
    <t xml:space="preserve">bicyclist acc value</t>
  </si>
  <si>
    <t xml:space="preserve">risk, acc./mill. km </t>
  </si>
  <si>
    <t xml:space="preserve">Reduction, mix to sep. lane</t>
  </si>
  <si>
    <t xml:space="preserve">pedestrian acc value</t>
  </si>
  <si>
    <t xml:space="preserve">Reduction, street to ped zone</t>
  </si>
  <si>
    <t xml:space="preserve">eqv level, dB(a)</t>
  </si>
  <si>
    <t xml:space="preserve">SEK/person</t>
  </si>
  <si>
    <t xml:space="preserve">EURg/person</t>
  </si>
  <si>
    <t xml:space="preserve">EURs/person</t>
  </si>
  <si>
    <t xml:space="preserve">PLN/person</t>
  </si>
  <si>
    <t xml:space="preserve">HRK/person</t>
  </si>
  <si>
    <t xml:space="preserve">GBP/lorry mile</t>
  </si>
  <si>
    <t xml:space="preserve">EURg/vehicle km</t>
  </si>
  <si>
    <t xml:space="preserve">EURs/vehicle km</t>
  </si>
  <si>
    <t xml:space="preserve">PLN/vehicle km</t>
  </si>
  <si>
    <t xml:space="preserve">HRK/vehicle km</t>
  </si>
  <si>
    <t xml:space="preserve">Emissions</t>
  </si>
  <si>
    <t xml:space="preserve">situation</t>
  </si>
  <si>
    <t xml:space="preserve">SEK/kg</t>
  </si>
  <si>
    <t xml:space="preserve">EURg/kg</t>
  </si>
  <si>
    <t xml:space="preserve">EURs/kg</t>
  </si>
  <si>
    <t xml:space="preserve">PLN/kg</t>
  </si>
  <si>
    <t xml:space="preserve">HRK/kg</t>
  </si>
  <si>
    <t xml:space="preserve">VOC/HC</t>
  </si>
  <si>
    <t xml:space="preserve">NOX</t>
  </si>
  <si>
    <t xml:space="preserve">short term</t>
  </si>
  <si>
    <t xml:space="preserve">long term</t>
  </si>
  <si>
    <t xml:space="preserve">GBP/km</t>
  </si>
  <si>
    <t xml:space="preserve">EURg/km</t>
  </si>
  <si>
    <t xml:space="preserve">EURs/km</t>
  </si>
  <si>
    <t xml:space="preserve">PLN/km</t>
  </si>
  <si>
    <t xml:space="preserve">HRK/km</t>
  </si>
  <si>
    <t xml:space="preserve">Value of pollution per lorry km</t>
  </si>
</sst>
</file>

<file path=xl/styles.xml><?xml version="1.0" encoding="utf-8"?>
<styleSheet xmlns="http://schemas.openxmlformats.org/spreadsheetml/2006/main">
  <numFmts count="18">
    <numFmt numFmtId="164" formatCode="General"/>
    <numFmt numFmtId="165" formatCode="[$$-409]#,##0.00;[RED]\-[$$-409]#,##0.00"/>
    <numFmt numFmtId="166" formatCode="General"/>
    <numFmt numFmtId="167" formatCode="\ #,##0.00\ ;\-#,##0.00\ ;\-#\ ;\ @\ "/>
    <numFmt numFmtId="168" formatCode="\ #,##0\ ;\-#,##0\ ;\-#\ ;\ @\ "/>
    <numFmt numFmtId="169" formatCode="0.0"/>
    <numFmt numFmtId="170" formatCode="#,##0\ ;[RED]\-#,##0\ "/>
    <numFmt numFmtId="171" formatCode="#,##0\ ;[RED]\(#,##0\)"/>
    <numFmt numFmtId="172" formatCode="\£#,##0;[RED]&quot;-£&quot;#,##0"/>
    <numFmt numFmtId="173" formatCode="0.0000"/>
    <numFmt numFmtId="174" formatCode="0.000"/>
    <numFmt numFmtId="175" formatCode="0"/>
    <numFmt numFmtId="176" formatCode="0.00"/>
    <numFmt numFmtId="177" formatCode="#,##0&quot; kr&quot;"/>
    <numFmt numFmtId="178" formatCode="#,##0"/>
    <numFmt numFmtId="179" formatCode="0%"/>
    <numFmt numFmtId="180" formatCode="#,##0.000"/>
    <numFmt numFmtId="181" formatCode="#,##0.00"/>
  </numFmts>
  <fonts count="23">
    <font>
      <sz val="10"/>
      <name val="Arial"/>
      <family val="2"/>
    </font>
    <font>
      <sz val="10"/>
      <name val="Arial"/>
      <family val="0"/>
    </font>
    <font>
      <sz val="10"/>
      <name val="Arial"/>
      <family val="0"/>
    </font>
    <font>
      <sz val="10"/>
      <name val="Arial"/>
      <family val="0"/>
    </font>
    <font>
      <u val="single"/>
      <sz val="10"/>
      <name val="Lucida Sans"/>
      <family val="2"/>
    </font>
    <font>
      <sz val="10"/>
      <name val="Lucida Sans"/>
      <family val="2"/>
    </font>
    <font>
      <sz val="11"/>
      <color rgb="FF000000"/>
      <name val="Calibri"/>
      <family val="2"/>
    </font>
    <font>
      <b val="true"/>
      <sz val="11"/>
      <name val="Calibri"/>
      <family val="2"/>
    </font>
    <font>
      <b val="true"/>
      <sz val="11"/>
      <color rgb="FF000000"/>
      <name val="Calibri"/>
      <family val="2"/>
    </font>
    <font>
      <sz val="11"/>
      <color rgb="FFFF0000"/>
      <name val="Calibri"/>
      <family val="2"/>
    </font>
    <font>
      <sz val="14"/>
      <color rgb="FF000000"/>
      <name val="Calibri"/>
      <family val="2"/>
    </font>
    <font>
      <b val="true"/>
      <sz val="14"/>
      <color rgb="FF000000"/>
      <name val="Calibri"/>
      <family val="2"/>
    </font>
    <font>
      <b val="true"/>
      <sz val="14"/>
      <name val="Calibri"/>
      <family val="2"/>
    </font>
    <font>
      <sz val="11"/>
      <name val="Calibri"/>
      <family val="2"/>
    </font>
    <font>
      <b val="true"/>
      <sz val="11"/>
      <color rgb="FFFF0000"/>
      <name val="Calibri"/>
      <family val="2"/>
    </font>
    <font>
      <sz val="12"/>
      <color rgb="FF000000"/>
      <name val="Calibri"/>
      <family val="2"/>
    </font>
    <font>
      <sz val="8"/>
      <color rgb="FF4D4D4D"/>
      <name val="Lucida Sans Unicode"/>
      <family val="2"/>
    </font>
    <font>
      <u val="single"/>
      <sz val="10"/>
      <color rgb="FF0000FF"/>
      <name val="Arial"/>
      <family val="2"/>
    </font>
    <font>
      <strike val="true"/>
      <sz val="11"/>
      <color rgb="FF000000"/>
      <name val="Calibri"/>
      <family val="2"/>
    </font>
    <font>
      <b val="true"/>
      <sz val="10"/>
      <color rgb="FF000000"/>
      <name val="Arial"/>
      <family val="2"/>
    </font>
    <font>
      <sz val="10"/>
      <color rgb="FF000000"/>
      <name val="Arial"/>
      <family val="2"/>
    </font>
    <font>
      <i val="true"/>
      <sz val="10"/>
      <color rgb="FF000000"/>
      <name val="Arial"/>
      <family val="2"/>
    </font>
    <font>
      <sz val="11"/>
      <color rgb="FF1F497D"/>
      <name val="Calibri"/>
      <family val="2"/>
    </font>
  </fonts>
  <fills count="15">
    <fill>
      <patternFill patternType="none"/>
    </fill>
    <fill>
      <patternFill patternType="gray125"/>
    </fill>
    <fill>
      <patternFill patternType="solid">
        <fgColor rgb="FFFFFF00"/>
        <bgColor rgb="FFFFFF00"/>
      </patternFill>
    </fill>
    <fill>
      <patternFill patternType="solid">
        <fgColor rgb="FFFFC000"/>
        <bgColor rgb="FFCC9900"/>
      </patternFill>
    </fill>
    <fill>
      <patternFill patternType="solid">
        <fgColor rgb="FFB7DEE8"/>
        <bgColor rgb="FFD9D9D9"/>
      </patternFill>
    </fill>
    <fill>
      <patternFill patternType="solid">
        <fgColor rgb="FFCC9900"/>
        <bgColor rgb="FFFFC000"/>
      </patternFill>
    </fill>
    <fill>
      <patternFill patternType="solid">
        <fgColor rgb="FFBFBFBF"/>
        <bgColor rgb="FFA6A6A6"/>
      </patternFill>
    </fill>
    <fill>
      <patternFill patternType="solid">
        <fgColor rgb="FFFF0000"/>
        <bgColor rgb="FF800000"/>
      </patternFill>
    </fill>
    <fill>
      <patternFill patternType="solid">
        <fgColor rgb="FF92D050"/>
        <bgColor rgb="FFA6A6A6"/>
      </patternFill>
    </fill>
    <fill>
      <patternFill patternType="solid">
        <fgColor rgb="FFFFFFFF"/>
        <bgColor rgb="FFF2F2F2"/>
      </patternFill>
    </fill>
    <fill>
      <patternFill patternType="solid">
        <fgColor rgb="FFD9D9D9"/>
        <bgColor rgb="FFB7DEE8"/>
      </patternFill>
    </fill>
    <fill>
      <patternFill patternType="solid">
        <fgColor rgb="FF984807"/>
        <bgColor rgb="FF993366"/>
      </patternFill>
    </fill>
    <fill>
      <patternFill patternType="solid">
        <fgColor rgb="FFF2F2F2"/>
        <bgColor rgb="FFFFFFFF"/>
      </patternFill>
    </fill>
    <fill>
      <patternFill patternType="solid">
        <fgColor rgb="FF00B0F0"/>
        <bgColor rgb="FF33CCCC"/>
      </patternFill>
    </fill>
    <fill>
      <patternFill patternType="solid">
        <fgColor rgb="FFA6A6A6"/>
        <bgColor rgb="FFBFBFBF"/>
      </patternFill>
    </fill>
  </fills>
  <borders count="72">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color rgb="FFD9D9D9"/>
      </right>
      <top/>
      <bottom style="thin"/>
      <diagonal/>
    </border>
    <border diagonalUp="false" diagonalDown="false">
      <left style="thin">
        <color rgb="FFD9D9D9"/>
      </left>
      <right style="thin">
        <color rgb="FFD9D9D9"/>
      </right>
      <top/>
      <bottom style="thin"/>
      <diagonal/>
    </border>
    <border diagonalUp="false" diagonalDown="false">
      <left style="thin">
        <color rgb="FFD9D9D9"/>
      </left>
      <right style="thin"/>
      <top/>
      <bottom style="thin"/>
      <diagonal/>
    </border>
    <border diagonalUp="false" diagonalDown="false">
      <left style="thin"/>
      <right style="thin"/>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style="thin"/>
      <top style="thin"/>
      <bottom style="thin"/>
      <diagonal/>
    </border>
    <border diagonalUp="false" diagonalDown="false">
      <left style="thin"/>
      <right/>
      <top/>
      <bottom style="thin"/>
      <diagonal/>
    </border>
    <border diagonalUp="false" diagonalDown="false">
      <left style="thin"/>
      <right style="thin"/>
      <top/>
      <bottom style="thin"/>
      <diagonal/>
    </border>
    <border diagonalUp="false" diagonalDown="false">
      <left style="thin"/>
      <right/>
      <top/>
      <bottom/>
      <diagonal/>
    </border>
    <border diagonalUp="false" diagonalDown="false">
      <left style="thin">
        <color rgb="FFD9D9D9"/>
      </left>
      <right style="thin">
        <color rgb="FFD9D9D9"/>
      </right>
      <top/>
      <bottom style="thin">
        <color rgb="FFD9D9D9"/>
      </bottom>
      <diagonal/>
    </border>
    <border diagonalUp="false" diagonalDown="false">
      <left style="thin">
        <color rgb="FFD9D9D9"/>
      </left>
      <right/>
      <top/>
      <bottom style="thin">
        <color rgb="FFD9D9D9"/>
      </bottom>
      <diagonal/>
    </border>
    <border diagonalUp="false" diagonalDown="false">
      <left/>
      <right style="thin">
        <color rgb="FFD9D9D9"/>
      </right>
      <top/>
      <bottom style="thin">
        <color rgb="FFD9D9D9"/>
      </bottom>
      <diagonal/>
    </border>
    <border diagonalUp="false" diagonalDown="false">
      <left/>
      <right/>
      <top/>
      <bottom style="thin">
        <color rgb="FFD9D9D9"/>
      </bottom>
      <diagonal/>
    </border>
    <border diagonalUp="false" diagonalDown="false">
      <left style="thin">
        <color rgb="FFD9D9D9"/>
      </left>
      <right style="thin">
        <color rgb="FFD9D9D9"/>
      </right>
      <top style="thin">
        <color rgb="FFD9D9D9"/>
      </top>
      <bottom style="thin">
        <color rgb="FFD9D9D9"/>
      </bottom>
      <diagonal/>
    </border>
    <border diagonalUp="false" diagonalDown="false">
      <left style="thin">
        <color rgb="FFD9D9D9"/>
      </left>
      <right/>
      <top style="thin">
        <color rgb="FFD9D9D9"/>
      </top>
      <bottom style="thin">
        <color rgb="FFD9D9D9"/>
      </bottom>
      <diagonal/>
    </border>
    <border diagonalUp="false" diagonalDown="false">
      <left/>
      <right style="thin">
        <color rgb="FFD9D9D9"/>
      </right>
      <top style="thin">
        <color rgb="FFD9D9D9"/>
      </top>
      <bottom style="thin">
        <color rgb="FFD9D9D9"/>
      </bottom>
      <diagonal/>
    </border>
    <border diagonalUp="false" diagonalDown="false">
      <left/>
      <right/>
      <top style="thin">
        <color rgb="FFD9D9D9"/>
      </top>
      <bottom style="thin">
        <color rgb="FFD9D9D9"/>
      </bottom>
      <diagonal/>
    </border>
    <border diagonalUp="false" diagonalDown="false">
      <left/>
      <right/>
      <top/>
      <bottom style="thin"/>
      <diagonal/>
    </border>
    <border diagonalUp="false" diagonalDown="false">
      <left style="thin">
        <color rgb="FFD9D9D9"/>
      </left>
      <right style="thin">
        <color rgb="FFD9D9D9"/>
      </right>
      <top style="thin">
        <color rgb="FFD9D9D9"/>
      </top>
      <bottom/>
      <diagonal/>
    </border>
    <border diagonalUp="false" diagonalDown="false">
      <left style="thick"/>
      <right/>
      <top style="thick"/>
      <bottom style="thin"/>
      <diagonal/>
    </border>
    <border diagonalUp="false" diagonalDown="false">
      <left/>
      <right/>
      <top style="thick"/>
      <bottom style="thin"/>
      <diagonal/>
    </border>
    <border diagonalUp="false" diagonalDown="false">
      <left/>
      <right style="thick"/>
      <top style="thick"/>
      <bottom style="thin"/>
      <diagonal/>
    </border>
    <border diagonalUp="false" diagonalDown="false">
      <left style="thick"/>
      <right style="thin"/>
      <top style="thin"/>
      <bottom style="thin"/>
      <diagonal/>
    </border>
    <border diagonalUp="false" diagonalDown="false">
      <left style="thin"/>
      <right style="thick"/>
      <top style="thin"/>
      <bottom style="thin"/>
      <diagonal/>
    </border>
    <border diagonalUp="false" diagonalDown="false">
      <left style="thick"/>
      <right style="thin"/>
      <top/>
      <bottom style="thin"/>
      <diagonal/>
    </border>
    <border diagonalUp="false" diagonalDown="false">
      <left style="thin"/>
      <right style="thin"/>
      <top/>
      <bottom/>
      <diagonal/>
    </border>
    <border diagonalUp="false" diagonalDown="false">
      <left/>
      <right style="thick"/>
      <top/>
      <bottom/>
      <diagonal/>
    </border>
    <border diagonalUp="false" diagonalDown="false">
      <left style="thick"/>
      <right style="thin"/>
      <top style="thin"/>
      <bottom style="thick"/>
      <diagonal/>
    </border>
    <border diagonalUp="false" diagonalDown="false">
      <left style="thin"/>
      <right style="thin"/>
      <top style="thin"/>
      <bottom style="thick"/>
      <diagonal/>
    </border>
    <border diagonalUp="false" diagonalDown="false">
      <left style="thin"/>
      <right style="thick"/>
      <top style="thin"/>
      <bottom style="thick"/>
      <diagonal/>
    </border>
    <border diagonalUp="false" diagonalDown="false">
      <left style="thick"/>
      <right style="thin"/>
      <top/>
      <bottom style="thick"/>
      <diagonal/>
    </border>
    <border diagonalUp="false" diagonalDown="false">
      <left style="thin"/>
      <right style="thin"/>
      <top/>
      <bottom style="thick"/>
      <diagonal/>
    </border>
    <border diagonalUp="false" diagonalDown="false">
      <left/>
      <right style="thick"/>
      <top/>
      <bottom style="thick"/>
      <diagonal/>
    </border>
    <border diagonalUp="false" diagonalDown="false">
      <left style="thin"/>
      <right/>
      <top style="thin"/>
      <bottom/>
      <diagonal/>
    </border>
    <border diagonalUp="false" diagonalDown="false">
      <left style="thin">
        <color rgb="FFD9D9D9"/>
      </left>
      <right style="thin">
        <color rgb="FFD9D9D9"/>
      </right>
      <top style="thin"/>
      <bottom style="thin"/>
      <diagonal/>
    </border>
    <border diagonalUp="false" diagonalDown="false">
      <left/>
      <right style="thin"/>
      <top/>
      <bottom/>
      <diagonal/>
    </border>
    <border diagonalUp="false" diagonalDown="false">
      <left style="thin">
        <color rgb="FFBFBFBF"/>
      </left>
      <right style="thin"/>
      <top/>
      <bottom/>
      <diagonal/>
    </border>
    <border diagonalUp="false" diagonalDown="false">
      <left/>
      <right style="thin"/>
      <top/>
      <bottom style="thin"/>
      <diagonal/>
    </border>
    <border diagonalUp="false" diagonalDown="false">
      <left style="thin"/>
      <right style="thin">
        <color rgb="FFD9D9D9"/>
      </right>
      <top style="thin">
        <color rgb="FFD9D9D9"/>
      </top>
      <bottom style="thin">
        <color rgb="FFD9D9D9"/>
      </bottom>
      <diagonal/>
    </border>
    <border diagonalUp="false" diagonalDown="false">
      <left style="thin">
        <color rgb="FFD9D9D9"/>
      </left>
      <right style="thin"/>
      <top style="thin">
        <color rgb="FFD9D9D9"/>
      </top>
      <bottom style="thin">
        <color rgb="FFD9D9D9"/>
      </bottom>
      <diagonal/>
    </border>
    <border diagonalUp="false" diagonalDown="false">
      <left style="thin">
        <color rgb="FFD9D9D9"/>
      </left>
      <right style="thin"/>
      <top/>
      <bottom style="thin">
        <color rgb="FFD9D9D9"/>
      </bottom>
      <diagonal/>
    </border>
    <border diagonalUp="false" diagonalDown="false">
      <left style="thin"/>
      <right style="thin">
        <color rgb="FFD9D9D9"/>
      </right>
      <top style="thin">
        <color rgb="FFD9D9D9"/>
      </top>
      <bottom style="thin"/>
      <diagonal/>
    </border>
    <border diagonalUp="false" diagonalDown="false">
      <left style="thin">
        <color rgb="FFD9D9D9"/>
      </left>
      <right style="thin"/>
      <top style="thin">
        <color rgb="FFD9D9D9"/>
      </top>
      <bottom style="thin"/>
      <diagonal/>
    </border>
    <border diagonalUp="false" diagonalDown="false">
      <left/>
      <right style="thin">
        <color rgb="FFD9D9D9"/>
      </right>
      <top style="thin">
        <color rgb="FFD9D9D9"/>
      </top>
      <bottom style="thin"/>
      <diagonal/>
    </border>
    <border diagonalUp="false" diagonalDown="false">
      <left style="thin">
        <color rgb="FFD9D9D9"/>
      </left>
      <right style="thin">
        <color rgb="FFD9D9D9"/>
      </right>
      <top style="thin">
        <color rgb="FFD9D9D9"/>
      </top>
      <bottom style="thin"/>
      <diagonal/>
    </border>
    <border diagonalUp="false" diagonalDown="false">
      <left style="thin">
        <color rgb="FFD9D9D9"/>
      </left>
      <right/>
      <top style="thin">
        <color rgb="FFD9D9D9"/>
      </top>
      <bottom style="thin"/>
      <diagonal/>
    </border>
    <border diagonalUp="false" diagonalDown="false">
      <left/>
      <right/>
      <top style="thin"/>
      <bottom style="thin">
        <color rgb="FFD9D9D9"/>
      </bottom>
      <diagonal/>
    </border>
    <border diagonalUp="false" diagonalDown="false">
      <left/>
      <right style="thin">
        <color rgb="FFBFBFBF"/>
      </right>
      <top style="thin">
        <color rgb="FFBFBFBF"/>
      </top>
      <bottom style="thin">
        <color rgb="FFBFBFBF"/>
      </bottom>
      <diagonal/>
    </border>
    <border diagonalUp="false" diagonalDown="false">
      <left style="thin">
        <color rgb="FFBFBFBF"/>
      </left>
      <right style="thin">
        <color rgb="FFBFBFBF"/>
      </right>
      <top style="thin">
        <color rgb="FFBFBFBF"/>
      </top>
      <bottom style="thin">
        <color rgb="FFBFBFBF"/>
      </bottom>
      <diagonal/>
    </border>
    <border diagonalUp="false" diagonalDown="false">
      <left style="thin">
        <color rgb="FFBFBFBF"/>
      </left>
      <right style="thin">
        <color rgb="FFBFBFBF"/>
      </right>
      <top/>
      <bottom/>
      <diagonal/>
    </border>
    <border diagonalUp="false" diagonalDown="false">
      <left style="thin">
        <color rgb="FFBFBFBF"/>
      </left>
      <right style="thin">
        <color rgb="FFBFBFBF"/>
      </right>
      <top/>
      <bottom style="thin">
        <color rgb="FFBFBFBF"/>
      </bottom>
      <diagonal/>
    </border>
    <border diagonalUp="false" diagonalDown="false">
      <left/>
      <right/>
      <top style="thin">
        <color rgb="FFD9D9D9"/>
      </top>
      <bottom/>
      <diagonal/>
    </border>
    <border diagonalUp="false" diagonalDown="false">
      <left style="thick"/>
      <right/>
      <top style="thick"/>
      <bottom/>
      <diagonal/>
    </border>
    <border diagonalUp="false" diagonalDown="false">
      <left/>
      <right/>
      <top style="thick"/>
      <bottom/>
      <diagonal/>
    </border>
    <border diagonalUp="false" diagonalDown="false">
      <left/>
      <right style="thick"/>
      <top style="thick"/>
      <bottom/>
      <diagonal/>
    </border>
    <border diagonalUp="false" diagonalDown="false">
      <left style="thin"/>
      <right style="thin"/>
      <top style="thick"/>
      <bottom style="thin"/>
      <diagonal/>
    </border>
    <border diagonalUp="false" diagonalDown="false">
      <left style="thin"/>
      <right style="thick"/>
      <top style="thick"/>
      <bottom style="thin"/>
      <diagonal/>
    </border>
    <border diagonalUp="false" diagonalDown="false">
      <left style="thin"/>
      <right style="thick"/>
      <top/>
      <bottom style="thin"/>
      <diagonal/>
    </border>
    <border diagonalUp="false" diagonalDown="false">
      <left style="thick"/>
      <right style="thin"/>
      <top style="thick"/>
      <bottom style="thin"/>
      <diagonal/>
    </border>
    <border diagonalUp="false" diagonalDown="false">
      <left style="thick"/>
      <right style="thin"/>
      <top style="thick"/>
      <bottom/>
      <diagonal/>
    </border>
    <border diagonalUp="false" diagonalDown="false">
      <left style="thin"/>
      <right style="thin"/>
      <top style="thick"/>
      <bottom/>
      <diagonal/>
    </border>
    <border diagonalUp="false" diagonalDown="false">
      <left style="thin"/>
      <right style="thick"/>
      <top style="thick"/>
      <bottom/>
      <diagonal/>
    </border>
    <border diagonalUp="false" diagonalDown="false">
      <left style="thick"/>
      <right style="thin"/>
      <top/>
      <bottom/>
      <diagonal/>
    </border>
    <border diagonalUp="false" diagonalDown="false">
      <left style="thin"/>
      <right style="thick"/>
      <top/>
      <bottom style="thick"/>
      <diagonal/>
    </border>
    <border diagonalUp="false" diagonalDown="false">
      <left style="thick"/>
      <right style="thin"/>
      <top style="thick"/>
      <bottom style="thick"/>
      <diagonal/>
    </border>
    <border diagonalUp="false" diagonalDown="false">
      <left style="thin"/>
      <right style="thin"/>
      <top style="thick"/>
      <bottom style="thick"/>
      <diagonal/>
    </border>
    <border diagonalUp="false" diagonalDown="false">
      <left style="thin"/>
      <right style="thick"/>
      <top style="thick"/>
      <bottom style="thick"/>
      <diagonal/>
    </border>
  </borders>
  <cellStyleXfs count="27">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7" fontId="6" fillId="0" borderId="0" applyFont="true" applyBorder="true" applyAlignment="true" applyProtection="true">
      <alignment horizontal="general" vertical="bottom" textRotation="0" wrapText="false" indent="0" shrinkToFit="false"/>
      <protection locked="true" hidden="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79" fontId="6" fillId="0" borderId="0" applyFont="true" applyBorder="true" applyAlignment="true" applyProtection="true">
      <alignment horizontal="general" vertical="bottom" textRotation="0" wrapText="false" indent="0" shrinkToFit="false"/>
      <protection locked="true" hidden="false"/>
    </xf>
    <xf numFmtId="166" fontId="17"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false" applyAlignment="false" applyProtection="false"/>
    <xf numFmtId="165" fontId="4" fillId="0" borderId="0" applyFont="true" applyBorder="false" applyAlignment="false" applyProtection="false"/>
    <xf numFmtId="164" fontId="5" fillId="0" borderId="0" applyFont="true" applyBorder="false" applyAlignment="true" applyProtection="false">
      <alignment horizontal="center" vertical="bottom" textRotation="0" wrapText="false" indent="0" shrinkToFit="false"/>
    </xf>
    <xf numFmtId="164" fontId="5" fillId="0" borderId="0" applyFont="true" applyBorder="false" applyAlignment="true" applyProtection="false">
      <alignment horizontal="center" vertical="bottom" textRotation="90" wrapText="false" indent="0" shrinkToFit="false"/>
    </xf>
    <xf numFmtId="166" fontId="0" fillId="0" borderId="0" applyFont="true" applyBorder="true" applyAlignment="true" applyProtection="true">
      <alignment horizontal="general" vertical="bottom" textRotation="0" wrapText="false" indent="0" shrinkToFit="false"/>
      <protection locked="true" hidden="false"/>
    </xf>
    <xf numFmtId="166" fontId="6" fillId="0" borderId="0" applyFont="true" applyBorder="true" applyAlignment="true" applyProtection="true">
      <alignment horizontal="general" vertical="bottom" textRotation="0" wrapText="false" indent="0" shrinkToFit="false"/>
      <protection locked="true" hidden="false"/>
    </xf>
  </cellStyleXfs>
  <cellXfs count="412">
    <xf numFmtId="164" fontId="0" fillId="0" borderId="0" xfId="0" applyFont="false" applyBorder="false" applyAlignment="false" applyProtection="false">
      <alignment horizontal="general" vertical="bottom" textRotation="0" wrapText="false" indent="0" shrinkToFit="false"/>
      <protection locked="true" hidden="false"/>
    </xf>
    <xf numFmtId="166" fontId="6" fillId="0" borderId="0" xfId="26" applyFont="false" applyBorder="false" applyAlignment="false" applyProtection="false">
      <alignment horizontal="general" vertical="bottom" textRotation="0" wrapText="false" indent="0" shrinkToFit="false"/>
      <protection locked="true" hidden="false"/>
    </xf>
    <xf numFmtId="166" fontId="7" fillId="0" borderId="0" xfId="26" applyFont="true" applyBorder="false" applyAlignment="false" applyProtection="false">
      <alignment horizontal="general" vertical="bottom" textRotation="0" wrapText="false" indent="0" shrinkToFit="false"/>
      <protection locked="true" hidden="false"/>
    </xf>
    <xf numFmtId="166" fontId="6" fillId="0" borderId="0" xfId="26" applyFont="true" applyBorder="true" applyAlignment="true" applyProtection="false">
      <alignment horizontal="left" vertical="bottom" textRotation="0" wrapText="true" indent="0" shrinkToFit="false"/>
      <protection locked="true" hidden="false"/>
    </xf>
    <xf numFmtId="166" fontId="6" fillId="0" borderId="0" xfId="26" applyFont="false" applyBorder="true" applyAlignment="true" applyProtection="false">
      <alignment horizontal="general" vertical="bottom" textRotation="0" wrapText="true" indent="0" shrinkToFit="false"/>
      <protection locked="true" hidden="false"/>
    </xf>
    <xf numFmtId="166" fontId="6" fillId="2" borderId="1" xfId="26" applyFont="true" applyBorder="true" applyAlignment="false" applyProtection="false">
      <alignment horizontal="general" vertical="bottom" textRotation="0" wrapText="false" indent="0" shrinkToFit="false"/>
      <protection locked="true" hidden="false"/>
    </xf>
    <xf numFmtId="166" fontId="6" fillId="2" borderId="2" xfId="26" applyFont="false" applyBorder="true" applyAlignment="false" applyProtection="false">
      <alignment horizontal="general" vertical="bottom" textRotation="0" wrapText="false" indent="0" shrinkToFit="false"/>
      <protection locked="true" hidden="false"/>
    </xf>
    <xf numFmtId="166" fontId="6" fillId="2" borderId="3" xfId="26" applyFont="false" applyBorder="true" applyAlignment="false" applyProtection="false">
      <alignment horizontal="general" vertical="bottom" textRotation="0" wrapText="false" indent="0" shrinkToFit="false"/>
      <protection locked="true" hidden="false"/>
    </xf>
    <xf numFmtId="166" fontId="6" fillId="3" borderId="4" xfId="15" applyFont="true" applyBorder="true" applyAlignment="true" applyProtection="true">
      <alignment horizontal="left" vertical="bottom" textRotation="0" wrapText="false" indent="0" shrinkToFit="false"/>
      <protection locked="true" hidden="false"/>
    </xf>
    <xf numFmtId="168" fontId="8" fillId="3" borderId="5" xfId="15" applyFont="true" applyBorder="true" applyAlignment="true" applyProtection="true">
      <alignment horizontal="general" vertical="bottom" textRotation="0" wrapText="false" indent="0" shrinkToFit="false"/>
      <protection locked="true" hidden="false"/>
    </xf>
    <xf numFmtId="168" fontId="8" fillId="3" borderId="6" xfId="15" applyFont="true" applyBorder="true" applyAlignment="true" applyProtection="true">
      <alignment horizontal="general" vertical="bottom" textRotation="0" wrapText="false" indent="0" shrinkToFit="false"/>
      <protection locked="true" hidden="false"/>
    </xf>
    <xf numFmtId="166" fontId="6" fillId="0" borderId="0" xfId="26" applyFont="false" applyBorder="true" applyAlignment="false" applyProtection="false">
      <alignment horizontal="general" vertical="bottom" textRotation="0" wrapText="false" indent="0" shrinkToFit="false"/>
      <protection locked="true" hidden="false"/>
    </xf>
    <xf numFmtId="166" fontId="6" fillId="4" borderId="7" xfId="26" applyFont="true" applyBorder="true" applyAlignment="false" applyProtection="false">
      <alignment horizontal="general" vertical="bottom" textRotation="0" wrapText="false" indent="0" shrinkToFit="false"/>
      <protection locked="true" hidden="false"/>
    </xf>
    <xf numFmtId="166" fontId="6" fillId="4" borderId="8" xfId="26" applyFont="false" applyBorder="true" applyAlignment="false" applyProtection="false">
      <alignment horizontal="general" vertical="bottom" textRotation="0" wrapText="false" indent="0" shrinkToFit="false"/>
      <protection locked="true" hidden="false"/>
    </xf>
    <xf numFmtId="166" fontId="6" fillId="4" borderId="9" xfId="26" applyFont="false" applyBorder="true" applyAlignment="false" applyProtection="false">
      <alignment horizontal="general" vertical="bottom" textRotation="0" wrapText="false" indent="0" shrinkToFit="false"/>
      <protection locked="true" hidden="false"/>
    </xf>
    <xf numFmtId="166" fontId="6" fillId="5" borderId="1" xfId="26" applyFont="true" applyBorder="true" applyAlignment="false" applyProtection="false">
      <alignment horizontal="general" vertical="bottom" textRotation="0" wrapText="false" indent="0" shrinkToFit="false"/>
      <protection locked="true" hidden="false"/>
    </xf>
    <xf numFmtId="166" fontId="6" fillId="5" borderId="2" xfId="26" applyFont="false" applyBorder="true" applyAlignment="false" applyProtection="false">
      <alignment horizontal="general" vertical="bottom" textRotation="0" wrapText="false" indent="0" shrinkToFit="false"/>
      <protection locked="true" hidden="false"/>
    </xf>
    <xf numFmtId="166" fontId="6" fillId="5" borderId="3" xfId="26" applyFont="false" applyBorder="true" applyAlignment="false" applyProtection="false">
      <alignment horizontal="general" vertical="bottom" textRotation="0" wrapText="false" indent="0" shrinkToFit="false"/>
      <protection locked="true" hidden="false"/>
    </xf>
    <xf numFmtId="166" fontId="9" fillId="0" borderId="0" xfId="26" applyFont="true" applyBorder="true" applyAlignment="true" applyProtection="false">
      <alignment horizontal="left" vertical="bottom" textRotation="0" wrapText="true" indent="0" shrinkToFit="false"/>
      <protection locked="true" hidden="false"/>
    </xf>
    <xf numFmtId="166" fontId="7" fillId="0" borderId="0" xfId="26" applyFont="true" applyBorder="false" applyAlignment="true" applyProtection="false">
      <alignment horizontal="left" vertical="bottom" textRotation="0" wrapText="false" indent="0" shrinkToFit="false"/>
      <protection locked="true" hidden="false"/>
    </xf>
    <xf numFmtId="166" fontId="9" fillId="0" borderId="0" xfId="26" applyFont="true" applyBorder="false" applyAlignment="true" applyProtection="false">
      <alignment horizontal="left" vertical="bottom" textRotation="0" wrapText="true" indent="0" shrinkToFit="false"/>
      <protection locked="true" hidden="false"/>
    </xf>
    <xf numFmtId="166" fontId="6" fillId="0" borderId="0" xfId="26" applyFont="false" applyBorder="false" applyAlignment="true" applyProtection="false">
      <alignment horizontal="left" vertical="bottom" textRotation="0" wrapText="true" indent="0" shrinkToFit="false"/>
      <protection locked="true" hidden="false"/>
    </xf>
    <xf numFmtId="166" fontId="8" fillId="0" borderId="0" xfId="26" applyFont="true" applyBorder="false" applyAlignment="false" applyProtection="false">
      <alignment horizontal="general" vertical="bottom" textRotation="0" wrapText="false" indent="0" shrinkToFit="false"/>
      <protection locked="true" hidden="false"/>
    </xf>
    <xf numFmtId="166" fontId="10" fillId="6" borderId="10" xfId="26" applyFont="true" applyBorder="true" applyAlignment="false" applyProtection="false">
      <alignment horizontal="general" vertical="bottom" textRotation="0" wrapText="false" indent="0" shrinkToFit="false"/>
      <protection locked="true" hidden="false"/>
    </xf>
    <xf numFmtId="166" fontId="6" fillId="0" borderId="11" xfId="26" applyFont="false" applyBorder="true" applyAlignment="false" applyProtection="false">
      <alignment horizontal="general" vertical="bottom" textRotation="0" wrapText="false" indent="0" shrinkToFit="false"/>
      <protection locked="true" hidden="false"/>
    </xf>
    <xf numFmtId="166" fontId="6" fillId="6" borderId="12" xfId="26" applyFont="true" applyBorder="true" applyAlignment="false" applyProtection="false">
      <alignment horizontal="general" vertical="bottom" textRotation="0" wrapText="false" indent="0" shrinkToFit="false"/>
      <protection locked="true" hidden="false"/>
    </xf>
    <xf numFmtId="166" fontId="6" fillId="2" borderId="10" xfId="26" applyFont="true" applyBorder="true" applyAlignment="false" applyProtection="false">
      <alignment horizontal="general" vertical="bottom" textRotation="0" wrapText="false" indent="0" shrinkToFit="false"/>
      <protection locked="true" hidden="false"/>
    </xf>
    <xf numFmtId="168" fontId="6" fillId="4" borderId="10" xfId="15" applyFont="true" applyBorder="true" applyAlignment="true" applyProtection="true">
      <alignment horizontal="general" vertical="bottom" textRotation="0" wrapText="false" indent="0" shrinkToFit="false"/>
      <protection locked="true" hidden="false"/>
    </xf>
    <xf numFmtId="166" fontId="6" fillId="0" borderId="13" xfId="26" applyFont="false" applyBorder="true" applyAlignment="false" applyProtection="false">
      <alignment horizontal="general" vertical="bottom" textRotation="0" wrapText="false" indent="0" shrinkToFit="false"/>
      <protection locked="true" hidden="false"/>
    </xf>
    <xf numFmtId="166" fontId="6" fillId="0" borderId="0" xfId="26" applyFont="false" applyBorder="true" applyAlignment="false" applyProtection="false">
      <alignment horizontal="general" vertical="bottom" textRotation="0" wrapText="false" indent="0" shrinkToFit="false"/>
      <protection locked="true" hidden="false"/>
    </xf>
    <xf numFmtId="166" fontId="6" fillId="6" borderId="10" xfId="26" applyFont="true" applyBorder="true" applyAlignment="false" applyProtection="false">
      <alignment horizontal="general" vertical="bottom" textRotation="0" wrapText="false" indent="0" shrinkToFit="false"/>
      <protection locked="true" hidden="false"/>
    </xf>
    <xf numFmtId="166" fontId="6" fillId="2" borderId="10" xfId="26" applyFont="false" applyBorder="true" applyAlignment="false" applyProtection="false">
      <alignment horizontal="general" vertical="bottom" textRotation="0" wrapText="false" indent="0" shrinkToFit="false"/>
      <protection locked="true" hidden="false"/>
    </xf>
    <xf numFmtId="166" fontId="6" fillId="5" borderId="10" xfId="26" applyFont="false" applyBorder="true" applyAlignment="false" applyProtection="false">
      <alignment horizontal="general" vertical="bottom" textRotation="0" wrapText="false" indent="0" shrinkToFit="false"/>
      <protection locked="true" hidden="false"/>
    </xf>
    <xf numFmtId="169" fontId="6" fillId="4" borderId="10" xfId="26" applyFont="false" applyBorder="true" applyAlignment="false" applyProtection="false">
      <alignment horizontal="general" vertical="bottom" textRotation="0" wrapText="false" indent="0" shrinkToFit="false"/>
      <protection locked="true" hidden="false"/>
    </xf>
    <xf numFmtId="169" fontId="6" fillId="0" borderId="0" xfId="26" applyFont="false" applyBorder="true" applyAlignment="false" applyProtection="false">
      <alignment horizontal="general" vertical="bottom" textRotation="0" wrapText="false" indent="0" shrinkToFit="false"/>
      <protection locked="true" hidden="false"/>
    </xf>
    <xf numFmtId="166" fontId="11" fillId="2" borderId="0" xfId="26" applyFont="true" applyBorder="true" applyAlignment="false" applyProtection="false">
      <alignment horizontal="general" vertical="bottom" textRotation="0" wrapText="false" indent="0" shrinkToFit="false"/>
      <protection locked="true" hidden="false"/>
    </xf>
    <xf numFmtId="166" fontId="6" fillId="2" borderId="0" xfId="26" applyFont="false" applyBorder="true" applyAlignment="false" applyProtection="false">
      <alignment horizontal="general" vertical="bottom" textRotation="0" wrapText="false" indent="0" shrinkToFit="false"/>
      <protection locked="true" hidden="false"/>
    </xf>
    <xf numFmtId="166" fontId="12" fillId="7" borderId="0" xfId="26" applyFont="true" applyBorder="true" applyAlignment="false" applyProtection="false">
      <alignment horizontal="general" vertical="bottom" textRotation="0" wrapText="false" indent="0" shrinkToFit="false"/>
      <protection locked="true" hidden="false"/>
    </xf>
    <xf numFmtId="166" fontId="6" fillId="7" borderId="0" xfId="26" applyFont="false" applyBorder="true" applyAlignment="false" applyProtection="false">
      <alignment horizontal="general" vertical="bottom" textRotation="0" wrapText="false" indent="0" shrinkToFit="false"/>
      <protection locked="true" hidden="false"/>
    </xf>
    <xf numFmtId="166" fontId="6" fillId="6" borderId="0" xfId="26" applyFont="false" applyBorder="true" applyAlignment="false" applyProtection="false">
      <alignment horizontal="general" vertical="bottom" textRotation="0" wrapText="false" indent="0" shrinkToFit="false"/>
      <protection locked="true" hidden="false"/>
    </xf>
    <xf numFmtId="166" fontId="12" fillId="8" borderId="0" xfId="26" applyFont="true" applyBorder="true" applyAlignment="false" applyProtection="false">
      <alignment horizontal="general" vertical="bottom" textRotation="0" wrapText="false" indent="0" shrinkToFit="false"/>
      <protection locked="true" hidden="false"/>
    </xf>
    <xf numFmtId="166" fontId="13" fillId="8" borderId="0" xfId="26" applyFont="true" applyBorder="true" applyAlignment="false" applyProtection="false">
      <alignment horizontal="general" vertical="bottom" textRotation="0" wrapText="false" indent="0" shrinkToFit="false"/>
      <protection locked="true" hidden="false"/>
    </xf>
    <xf numFmtId="166" fontId="11" fillId="7" borderId="0" xfId="26" applyFont="true" applyBorder="true" applyAlignment="false" applyProtection="false">
      <alignment horizontal="general" vertical="bottom" textRotation="0" wrapText="false" indent="0" shrinkToFit="false"/>
      <protection locked="true" hidden="false"/>
    </xf>
    <xf numFmtId="166" fontId="11" fillId="8" borderId="0" xfId="26" applyFont="true" applyBorder="true" applyAlignment="false" applyProtection="false">
      <alignment horizontal="general" vertical="bottom" textRotation="0" wrapText="false" indent="0" shrinkToFit="false"/>
      <protection locked="true" hidden="false"/>
    </xf>
    <xf numFmtId="166" fontId="6" fillId="8" borderId="0" xfId="26" applyFont="false" applyBorder="true" applyAlignment="false" applyProtection="false">
      <alignment horizontal="general" vertical="bottom" textRotation="0" wrapText="false" indent="0" shrinkToFit="false"/>
      <protection locked="true" hidden="false"/>
    </xf>
    <xf numFmtId="166" fontId="6" fillId="0" borderId="14" xfId="26" applyFont="true" applyBorder="true" applyAlignment="true" applyProtection="false">
      <alignment horizontal="center" vertical="bottom" textRotation="0" wrapText="false" indent="0" shrinkToFit="false"/>
      <protection locked="true" hidden="false"/>
    </xf>
    <xf numFmtId="166" fontId="6" fillId="0" borderId="0" xfId="26" applyFont="false" applyBorder="false" applyAlignment="true" applyProtection="false">
      <alignment horizontal="general" vertical="bottom" textRotation="0" wrapText="false" indent="0" shrinkToFit="false"/>
      <protection locked="true" hidden="false"/>
    </xf>
    <xf numFmtId="166" fontId="6" fillId="0" borderId="14" xfId="26" applyFont="true" applyBorder="true" applyAlignment="true" applyProtection="false">
      <alignment horizontal="left" vertical="bottom" textRotation="0" wrapText="true" indent="0" shrinkToFit="false"/>
      <protection locked="true" hidden="false"/>
    </xf>
    <xf numFmtId="166" fontId="6" fillId="0" borderId="15" xfId="26" applyFont="true" applyBorder="true" applyAlignment="true" applyProtection="false">
      <alignment horizontal="left" vertical="bottom" textRotation="0" wrapText="true" indent="0" shrinkToFit="false"/>
      <protection locked="true" hidden="false"/>
    </xf>
    <xf numFmtId="166" fontId="6" fillId="6" borderId="0" xfId="26" applyFont="false" applyBorder="true" applyAlignment="true" applyProtection="false">
      <alignment horizontal="center" vertical="bottom" textRotation="0" wrapText="true" indent="0" shrinkToFit="false"/>
      <protection locked="true" hidden="false"/>
    </xf>
    <xf numFmtId="166" fontId="6" fillId="0" borderId="16" xfId="26" applyFont="true" applyBorder="true" applyAlignment="true" applyProtection="false">
      <alignment horizontal="center" vertical="bottom" textRotation="0" wrapText="false" indent="0" shrinkToFit="false"/>
      <protection locked="true" hidden="false"/>
    </xf>
    <xf numFmtId="166" fontId="6" fillId="6" borderId="0" xfId="26" applyFont="false" applyBorder="true" applyAlignment="true" applyProtection="false">
      <alignment horizontal="center" vertical="bottom" textRotation="0" wrapText="false" indent="0" shrinkToFit="false"/>
      <protection locked="true" hidden="false"/>
    </xf>
    <xf numFmtId="166" fontId="6" fillId="0" borderId="17" xfId="26" applyFont="true" applyBorder="true" applyAlignment="true" applyProtection="false">
      <alignment horizontal="left" vertical="bottom" textRotation="0" wrapText="true" indent="0" shrinkToFit="false"/>
      <protection locked="true" hidden="false"/>
    </xf>
    <xf numFmtId="166" fontId="6" fillId="0" borderId="16" xfId="26" applyFont="true" applyBorder="true" applyAlignment="true" applyProtection="false">
      <alignment horizontal="left" vertical="bottom" textRotation="0" wrapText="true" indent="0" shrinkToFit="false"/>
      <protection locked="true" hidden="false"/>
    </xf>
    <xf numFmtId="166" fontId="6" fillId="0" borderId="0" xfId="26" applyFont="false" applyBorder="false" applyAlignment="true" applyProtection="false">
      <alignment horizontal="center" vertical="center" textRotation="0" wrapText="true" indent="0" shrinkToFit="false"/>
      <protection locked="true" hidden="false"/>
    </xf>
    <xf numFmtId="166" fontId="6" fillId="0" borderId="18" xfId="26" applyFont="false" applyBorder="true" applyAlignment="false" applyProtection="false">
      <alignment horizontal="general" vertical="bottom" textRotation="0" wrapText="false" indent="0" shrinkToFit="false"/>
      <protection locked="true" hidden="false"/>
    </xf>
    <xf numFmtId="166" fontId="14" fillId="0" borderId="0" xfId="26" applyFont="true" applyBorder="false" applyAlignment="false" applyProtection="false">
      <alignment horizontal="general" vertical="bottom" textRotation="0" wrapText="false" indent="0" shrinkToFit="false"/>
      <protection locked="true" hidden="false"/>
    </xf>
    <xf numFmtId="166" fontId="6" fillId="0" borderId="18" xfId="26" applyFont="false" applyBorder="true" applyAlignment="true" applyProtection="false">
      <alignment horizontal="center" vertical="bottom" textRotation="0" wrapText="false" indent="0" shrinkToFit="false"/>
      <protection locked="true" hidden="false"/>
    </xf>
    <xf numFmtId="170" fontId="6" fillId="3" borderId="18" xfId="15" applyFont="true" applyBorder="true" applyAlignment="true" applyProtection="true">
      <alignment horizontal="general" vertical="bottom" textRotation="0" wrapText="false" indent="0" shrinkToFit="false"/>
      <protection locked="true" hidden="false"/>
    </xf>
    <xf numFmtId="170" fontId="6" fillId="9" borderId="18" xfId="15" applyFont="true" applyBorder="true" applyAlignment="true" applyProtection="true">
      <alignment horizontal="general" vertical="bottom" textRotation="0" wrapText="false" indent="0" shrinkToFit="false"/>
      <protection locked="true" hidden="false"/>
    </xf>
    <xf numFmtId="170" fontId="6" fillId="0" borderId="18" xfId="15" applyFont="true" applyBorder="true" applyAlignment="true" applyProtection="true">
      <alignment horizontal="general" vertical="bottom" textRotation="0" wrapText="false" indent="0" shrinkToFit="false"/>
      <protection locked="true" hidden="false"/>
    </xf>
    <xf numFmtId="170" fontId="6" fillId="4" borderId="19" xfId="15" applyFont="true" applyBorder="true" applyAlignment="true" applyProtection="true">
      <alignment horizontal="general" vertical="bottom" textRotation="0" wrapText="false" indent="0" shrinkToFit="false"/>
      <protection locked="true" hidden="false"/>
    </xf>
    <xf numFmtId="166" fontId="6" fillId="6" borderId="0" xfId="26" applyFont="false" applyBorder="true" applyAlignment="true" applyProtection="false">
      <alignment horizontal="center" vertical="top" textRotation="0" wrapText="true" indent="0" shrinkToFit="false"/>
      <protection locked="true" hidden="false"/>
    </xf>
    <xf numFmtId="166" fontId="6" fillId="0" borderId="20" xfId="15" applyFont="true" applyBorder="true" applyAlignment="true" applyProtection="true">
      <alignment horizontal="center" vertical="bottom" textRotation="0" wrapText="false" indent="0" shrinkToFit="false"/>
      <protection locked="true" hidden="false"/>
    </xf>
    <xf numFmtId="170" fontId="6" fillId="4" borderId="21" xfId="15" applyFont="true" applyBorder="true" applyAlignment="true" applyProtection="true">
      <alignment horizontal="general" vertical="bottom" textRotation="0" wrapText="false" indent="0" shrinkToFit="false"/>
      <protection locked="true" hidden="false"/>
    </xf>
    <xf numFmtId="171" fontId="6" fillId="3" borderId="20" xfId="15" applyFont="true" applyBorder="true" applyAlignment="true" applyProtection="true">
      <alignment horizontal="general" vertical="bottom" textRotation="0" wrapText="false" indent="0" shrinkToFit="false"/>
      <protection locked="true" hidden="false"/>
    </xf>
    <xf numFmtId="171" fontId="6" fillId="3" borderId="18" xfId="26" applyFont="false" applyBorder="true" applyAlignment="false" applyProtection="false">
      <alignment horizontal="general" vertical="bottom" textRotation="0" wrapText="false" indent="0" shrinkToFit="false"/>
      <protection locked="true" hidden="false"/>
    </xf>
    <xf numFmtId="170" fontId="6" fillId="4" borderId="20" xfId="15" applyFont="true" applyBorder="true" applyAlignment="true" applyProtection="true">
      <alignment horizontal="general" vertical="bottom" textRotation="0" wrapText="false" indent="0" shrinkToFit="false"/>
      <protection locked="true" hidden="false"/>
    </xf>
    <xf numFmtId="167" fontId="6" fillId="6" borderId="0" xfId="15" applyFont="true" applyBorder="true" applyAlignment="true" applyProtection="true">
      <alignment horizontal="general" vertical="bottom" textRotation="0" wrapText="false" indent="0" shrinkToFit="false"/>
      <protection locked="true" hidden="false"/>
    </xf>
    <xf numFmtId="167" fontId="6" fillId="0" borderId="18" xfId="15" applyFont="true" applyBorder="true" applyAlignment="true" applyProtection="true">
      <alignment horizontal="general" vertical="bottom" textRotation="0" wrapText="false" indent="0" shrinkToFit="false"/>
      <protection locked="true" hidden="false"/>
    </xf>
    <xf numFmtId="167" fontId="6" fillId="0" borderId="14" xfId="15" applyFont="true" applyBorder="true" applyAlignment="true" applyProtection="true">
      <alignment horizontal="general" vertical="bottom" textRotation="0" wrapText="false" indent="0" shrinkToFit="false"/>
      <protection locked="true" hidden="false"/>
    </xf>
    <xf numFmtId="167" fontId="6" fillId="9" borderId="18" xfId="15" applyFont="true" applyBorder="true" applyAlignment="true" applyProtection="true">
      <alignment horizontal="general" vertical="bottom" textRotation="0" wrapText="false" indent="0" shrinkToFit="false"/>
      <protection locked="true" hidden="false"/>
    </xf>
    <xf numFmtId="167" fontId="6" fillId="0" borderId="14" xfId="15" applyFont="true" applyBorder="true" applyAlignment="true" applyProtection="true">
      <alignment horizontal="right" vertical="bottom" textRotation="0" wrapText="false" indent="0" shrinkToFit="false"/>
      <protection locked="true" hidden="false"/>
    </xf>
    <xf numFmtId="170" fontId="6" fillId="4" borderId="18" xfId="15" applyFont="true" applyBorder="true" applyAlignment="true" applyProtection="true">
      <alignment horizontal="general" vertical="bottom" textRotation="0" wrapText="false" indent="0" shrinkToFit="false"/>
      <protection locked="true" hidden="false"/>
    </xf>
    <xf numFmtId="167" fontId="6" fillId="9" borderId="14" xfId="15" applyFont="true" applyBorder="true" applyAlignment="true" applyProtection="true">
      <alignment horizontal="general" vertical="bottom" textRotation="0" wrapText="false" indent="0" shrinkToFit="false"/>
      <protection locked="true" hidden="false"/>
    </xf>
    <xf numFmtId="166" fontId="6" fillId="0" borderId="18" xfId="26" applyFont="false" applyBorder="true" applyAlignment="false" applyProtection="false">
      <alignment horizontal="general" vertical="bottom" textRotation="0" wrapText="false" indent="0" shrinkToFit="false"/>
      <protection locked="true" hidden="false"/>
    </xf>
    <xf numFmtId="172" fontId="6" fillId="0" borderId="18" xfId="26" applyFont="false" applyBorder="true" applyAlignment="false" applyProtection="false">
      <alignment horizontal="general" vertical="bottom" textRotation="0" wrapText="false" indent="0" shrinkToFit="false"/>
      <protection locked="true" hidden="false"/>
    </xf>
    <xf numFmtId="168" fontId="13" fillId="0" borderId="18" xfId="15" applyFont="true" applyBorder="true" applyAlignment="true" applyProtection="true">
      <alignment horizontal="general" vertical="bottom" textRotation="0" wrapText="false" indent="0" shrinkToFit="false"/>
      <protection locked="true" hidden="false"/>
    </xf>
    <xf numFmtId="166" fontId="6" fillId="0" borderId="14" xfId="26" applyFont="false" applyBorder="true" applyAlignment="false" applyProtection="false">
      <alignment horizontal="general" vertical="bottom" textRotation="0" wrapText="false" indent="0" shrinkToFit="false"/>
      <protection locked="true" hidden="false"/>
    </xf>
    <xf numFmtId="172" fontId="6" fillId="0" borderId="0" xfId="26" applyFont="false" applyBorder="false" applyAlignment="false" applyProtection="false">
      <alignment horizontal="general" vertical="bottom" textRotation="0" wrapText="false" indent="0" shrinkToFit="false"/>
      <protection locked="true" hidden="false"/>
    </xf>
    <xf numFmtId="168" fontId="6" fillId="0" borderId="0" xfId="15" applyFont="true" applyBorder="true" applyAlignment="true" applyProtection="true">
      <alignment horizontal="general" vertical="bottom" textRotation="0" wrapText="false" indent="0" shrinkToFit="false"/>
      <protection locked="true" hidden="false"/>
    </xf>
    <xf numFmtId="168" fontId="6" fillId="0" borderId="22" xfId="15" applyFont="true" applyBorder="true" applyAlignment="true" applyProtection="true">
      <alignment horizontal="general" vertical="bottom" textRotation="0" wrapText="false" indent="0" shrinkToFit="false"/>
      <protection locked="true" hidden="false"/>
    </xf>
    <xf numFmtId="166" fontId="11" fillId="0" borderId="0" xfId="26" applyFont="true" applyBorder="false" applyAlignment="false" applyProtection="false">
      <alignment horizontal="general" vertical="bottom" textRotation="0" wrapText="false" indent="0" shrinkToFit="false"/>
      <protection locked="true" hidden="false"/>
    </xf>
    <xf numFmtId="166" fontId="6" fillId="0" borderId="0" xfId="26" applyFont="true" applyBorder="false" applyAlignment="false" applyProtection="false">
      <alignment horizontal="general" vertical="bottom" textRotation="0" wrapText="false" indent="0" shrinkToFit="false"/>
      <protection locked="true" hidden="false"/>
    </xf>
    <xf numFmtId="166" fontId="6" fillId="0" borderId="0" xfId="26" applyFont="true" applyBorder="true" applyAlignment="true" applyProtection="false">
      <alignment horizontal="left" vertical="top" textRotation="0" wrapText="true" indent="0" shrinkToFit="false"/>
      <protection locked="true" hidden="false"/>
    </xf>
    <xf numFmtId="166" fontId="6" fillId="0" borderId="0" xfId="26" applyFont="true" applyBorder="false" applyAlignment="true" applyProtection="false">
      <alignment horizontal="left" vertical="top" textRotation="0" wrapText="true" indent="0" shrinkToFit="false"/>
      <protection locked="true" hidden="false"/>
    </xf>
    <xf numFmtId="166" fontId="8" fillId="0" borderId="0" xfId="26" applyFont="true" applyBorder="false" applyAlignment="true" applyProtection="false">
      <alignment horizontal="left" vertical="top" textRotation="0" wrapText="false" indent="0" shrinkToFit="false"/>
      <protection locked="true" hidden="false"/>
    </xf>
    <xf numFmtId="166" fontId="6" fillId="0" borderId="0" xfId="26" applyFont="true" applyBorder="false" applyAlignment="true" applyProtection="false">
      <alignment horizontal="left" vertical="bottom" textRotation="0" wrapText="true" indent="0" shrinkToFit="false"/>
      <protection locked="true" hidden="false"/>
    </xf>
    <xf numFmtId="166" fontId="6" fillId="0" borderId="0" xfId="26" applyFont="true" applyBorder="false" applyAlignment="true" applyProtection="false">
      <alignment horizontal="general" vertical="bottom" textRotation="0" wrapText="false" indent="0" shrinkToFit="false"/>
      <protection locked="true" hidden="false"/>
    </xf>
    <xf numFmtId="166" fontId="8" fillId="0" borderId="0" xfId="26" applyFont="true" applyBorder="false" applyAlignment="true" applyProtection="false">
      <alignment horizontal="left" vertical="bottom" textRotation="0" wrapText="false" indent="0" shrinkToFit="false"/>
      <protection locked="true" hidden="false"/>
    </xf>
    <xf numFmtId="166" fontId="6" fillId="0" borderId="0" xfId="26" applyFont="true" applyBorder="false" applyAlignment="true" applyProtection="false">
      <alignment horizontal="left" vertical="top" textRotation="0" wrapText="false" indent="0" shrinkToFit="false"/>
      <protection locked="true" hidden="false"/>
    </xf>
    <xf numFmtId="166" fontId="6" fillId="0" borderId="0" xfId="26" applyFont="true" applyBorder="false" applyAlignment="true" applyProtection="false">
      <alignment horizontal="general" vertical="top" textRotation="0" wrapText="false" indent="0" shrinkToFit="false"/>
      <protection locked="true" hidden="false"/>
    </xf>
    <xf numFmtId="166" fontId="15" fillId="0" borderId="0" xfId="26" applyFont="true" applyBorder="true" applyAlignment="true" applyProtection="false">
      <alignment horizontal="center" vertical="top" textRotation="0" wrapText="true" indent="0" shrinkToFit="false"/>
      <protection locked="true" hidden="false"/>
    </xf>
    <xf numFmtId="166" fontId="11" fillId="7" borderId="0" xfId="26" applyFont="true" applyBorder="false" applyAlignment="false" applyProtection="false">
      <alignment horizontal="general" vertical="bottom" textRotation="0" wrapText="false" indent="0" shrinkToFit="false"/>
      <protection locked="true" hidden="false"/>
    </xf>
    <xf numFmtId="166" fontId="9" fillId="7" borderId="0" xfId="26" applyFont="true" applyBorder="false" applyAlignment="false" applyProtection="false">
      <alignment horizontal="general" vertical="bottom" textRotation="0" wrapText="false" indent="0" shrinkToFit="false"/>
      <protection locked="true" hidden="false"/>
    </xf>
    <xf numFmtId="166" fontId="6" fillId="7" borderId="0" xfId="26" applyFont="false" applyBorder="false" applyAlignment="false" applyProtection="false">
      <alignment horizontal="general" vertical="bottom" textRotation="0" wrapText="false" indent="0" shrinkToFit="false"/>
      <protection locked="true" hidden="false"/>
    </xf>
    <xf numFmtId="166" fontId="9" fillId="6" borderId="0" xfId="26" applyFont="true" applyBorder="false" applyAlignment="false" applyProtection="false">
      <alignment horizontal="general" vertical="bottom" textRotation="0" wrapText="false" indent="0" shrinkToFit="false"/>
      <protection locked="true" hidden="false"/>
    </xf>
    <xf numFmtId="166" fontId="11" fillId="8" borderId="23" xfId="26" applyFont="true" applyBorder="true" applyAlignment="false" applyProtection="false">
      <alignment horizontal="general" vertical="bottom" textRotation="0" wrapText="false" indent="0" shrinkToFit="false"/>
      <protection locked="true" hidden="false"/>
    </xf>
    <xf numFmtId="166" fontId="6" fillId="8" borderId="0" xfId="26" applyFont="false" applyBorder="false" applyAlignment="false" applyProtection="false">
      <alignment horizontal="general" vertical="bottom" textRotation="0" wrapText="false" indent="0" shrinkToFit="false"/>
      <protection locked="true" hidden="false"/>
    </xf>
    <xf numFmtId="166" fontId="6" fillId="0" borderId="0" xfId="26" applyFont="false" applyBorder="false" applyAlignment="true" applyProtection="false">
      <alignment horizontal="general" vertical="top" textRotation="0" wrapText="false" indent="0" shrinkToFit="false"/>
      <protection locked="true" hidden="false"/>
    </xf>
    <xf numFmtId="166" fontId="6" fillId="0" borderId="0" xfId="26" applyFont="true" applyBorder="true" applyAlignment="true" applyProtection="false">
      <alignment horizontal="center" vertical="bottom" textRotation="0" wrapText="false" indent="0" shrinkToFit="false"/>
      <protection locked="true" hidden="false"/>
    </xf>
    <xf numFmtId="166" fontId="6" fillId="0" borderId="0" xfId="26" applyFont="true" applyBorder="true" applyAlignment="true" applyProtection="false">
      <alignment horizontal="center" vertical="bottom" textRotation="0" wrapText="true" indent="0" shrinkToFit="false"/>
      <protection locked="true" hidden="false"/>
    </xf>
    <xf numFmtId="166" fontId="6" fillId="6" borderId="0" xfId="26" applyFont="false" applyBorder="true" applyAlignment="true" applyProtection="false">
      <alignment horizontal="center" vertical="top" textRotation="0" wrapText="false" indent="0" shrinkToFit="false"/>
      <protection locked="true" hidden="false"/>
    </xf>
    <xf numFmtId="166" fontId="6" fillId="0" borderId="0" xfId="26" applyFont="false" applyBorder="false" applyAlignment="true" applyProtection="false">
      <alignment horizontal="general" vertical="top" textRotation="0" wrapText="true" indent="0" shrinkToFit="false"/>
      <protection locked="true" hidden="false"/>
    </xf>
    <xf numFmtId="170" fontId="6" fillId="2" borderId="18" xfId="26" applyFont="false" applyBorder="true" applyAlignment="false" applyProtection="false">
      <alignment horizontal="general" vertical="bottom" textRotation="0" wrapText="false" indent="0" shrinkToFit="false"/>
      <protection locked="true" hidden="false"/>
    </xf>
    <xf numFmtId="170" fontId="6" fillId="2" borderId="0" xfId="26" applyFont="false" applyBorder="false" applyAlignment="true" applyProtection="false">
      <alignment horizontal="general" vertical="top" textRotation="0" wrapText="false" indent="0" shrinkToFit="false"/>
      <protection locked="true" hidden="false"/>
    </xf>
    <xf numFmtId="166" fontId="6" fillId="6" borderId="0" xfId="26" applyFont="false" applyBorder="true" applyAlignment="true" applyProtection="false">
      <alignment horizontal="general" vertical="top" textRotation="0" wrapText="false" indent="0" shrinkToFit="false"/>
      <protection locked="true" hidden="false"/>
    </xf>
    <xf numFmtId="166" fontId="6" fillId="0" borderId="0" xfId="26" applyFont="true" applyBorder="false" applyAlignment="true" applyProtection="false">
      <alignment horizontal="general" vertical="top" textRotation="0" wrapText="true" indent="0" shrinkToFit="false"/>
      <protection locked="true" hidden="false"/>
    </xf>
    <xf numFmtId="166" fontId="6" fillId="0" borderId="0" xfId="26" applyFont="true" applyBorder="false" applyAlignment="true" applyProtection="false">
      <alignment horizontal="general" vertical="bottom" textRotation="0" wrapText="true" indent="0" shrinkToFit="false"/>
      <protection locked="true" hidden="false"/>
    </xf>
    <xf numFmtId="166" fontId="6" fillId="0" borderId="24" xfId="26" applyFont="false" applyBorder="true" applyAlignment="false" applyProtection="false">
      <alignment horizontal="general" vertical="bottom" textRotation="0" wrapText="false" indent="0" shrinkToFit="false"/>
      <protection locked="true" hidden="false"/>
    </xf>
    <xf numFmtId="166" fontId="6" fillId="0" borderId="25" xfId="26" applyFont="false" applyBorder="true" applyAlignment="false" applyProtection="false">
      <alignment horizontal="general" vertical="bottom" textRotation="0" wrapText="false" indent="0" shrinkToFit="false"/>
      <protection locked="true" hidden="false"/>
    </xf>
    <xf numFmtId="166" fontId="6" fillId="0" borderId="26" xfId="26" applyFont="false" applyBorder="true" applyAlignment="true" applyProtection="false">
      <alignment horizontal="center" vertical="bottom" textRotation="0" wrapText="false" indent="0" shrinkToFit="false"/>
      <protection locked="true" hidden="false"/>
    </xf>
    <xf numFmtId="166" fontId="6" fillId="10" borderId="27" xfId="26" applyFont="true" applyBorder="true" applyAlignment="false" applyProtection="false">
      <alignment horizontal="general" vertical="bottom" textRotation="0" wrapText="false" indent="0" shrinkToFit="false"/>
      <protection locked="true" hidden="false"/>
    </xf>
    <xf numFmtId="166" fontId="6" fillId="10" borderId="10" xfId="26" applyFont="true" applyBorder="true" applyAlignment="true" applyProtection="false">
      <alignment horizontal="left" vertical="top" textRotation="0" wrapText="false" indent="0" shrinkToFit="false"/>
      <protection locked="true" hidden="false"/>
    </xf>
    <xf numFmtId="166" fontId="6" fillId="10" borderId="10" xfId="26" applyFont="true" applyBorder="true" applyAlignment="false" applyProtection="false">
      <alignment horizontal="general" vertical="bottom" textRotation="0" wrapText="false" indent="0" shrinkToFit="false"/>
      <protection locked="true" hidden="false"/>
    </xf>
    <xf numFmtId="166" fontId="6" fillId="10" borderId="28" xfId="26" applyFont="true" applyBorder="true" applyAlignment="false" applyProtection="false">
      <alignment horizontal="general" vertical="bottom" textRotation="0" wrapText="false" indent="0" shrinkToFit="false"/>
      <protection locked="true" hidden="false"/>
    </xf>
    <xf numFmtId="166" fontId="6" fillId="10" borderId="29" xfId="26" applyFont="true" applyBorder="true" applyAlignment="false" applyProtection="false">
      <alignment horizontal="general" vertical="bottom" textRotation="0" wrapText="false" indent="0" shrinkToFit="false"/>
      <protection locked="true" hidden="false"/>
    </xf>
    <xf numFmtId="169" fontId="6" fillId="10" borderId="12" xfId="26" applyFont="false" applyBorder="true" applyAlignment="true" applyProtection="false">
      <alignment horizontal="center" vertical="bottom" textRotation="0" wrapText="false" indent="0" shrinkToFit="false"/>
      <protection locked="true" hidden="false"/>
    </xf>
    <xf numFmtId="166" fontId="6" fillId="10" borderId="12" xfId="26" applyFont="true" applyBorder="true" applyAlignment="false" applyProtection="false">
      <alignment horizontal="general" vertical="bottom" textRotation="0" wrapText="false" indent="0" shrinkToFit="false"/>
      <protection locked="true" hidden="false"/>
    </xf>
    <xf numFmtId="169" fontId="6" fillId="5" borderId="28" xfId="26" applyFont="false" applyBorder="true" applyAlignment="true" applyProtection="false">
      <alignment horizontal="center" vertical="bottom" textRotation="0" wrapText="false" indent="0" shrinkToFit="false"/>
      <protection locked="true" hidden="false"/>
    </xf>
    <xf numFmtId="169" fontId="6" fillId="0" borderId="0" xfId="26" applyFont="false" applyBorder="false" applyAlignment="false" applyProtection="false">
      <alignment horizontal="general" vertical="bottom" textRotation="0" wrapText="false" indent="0" shrinkToFit="false"/>
      <protection locked="true" hidden="false"/>
    </xf>
    <xf numFmtId="169" fontId="6" fillId="10" borderId="10" xfId="26" applyFont="false" applyBorder="true" applyAlignment="true" applyProtection="false">
      <alignment horizontal="center" vertical="bottom" textRotation="0" wrapText="false" indent="0" shrinkToFit="false"/>
      <protection locked="true" hidden="false"/>
    </xf>
    <xf numFmtId="166" fontId="6" fillId="10" borderId="30" xfId="26" applyFont="false" applyBorder="true" applyAlignment="false" applyProtection="false">
      <alignment horizontal="general" vertical="bottom" textRotation="0" wrapText="false" indent="0" shrinkToFit="false"/>
      <protection locked="true" hidden="false"/>
    </xf>
    <xf numFmtId="166" fontId="6" fillId="5" borderId="31" xfId="26" applyFont="false" applyBorder="true" applyAlignment="false" applyProtection="false">
      <alignment horizontal="general" vertical="bottom" textRotation="0" wrapText="false" indent="0" shrinkToFit="false"/>
      <protection locked="true" hidden="false"/>
    </xf>
    <xf numFmtId="166" fontId="6" fillId="10" borderId="32" xfId="26" applyFont="true" applyBorder="true" applyAlignment="false" applyProtection="false">
      <alignment horizontal="general" vertical="bottom" textRotation="0" wrapText="false" indent="0" shrinkToFit="false"/>
      <protection locked="true" hidden="false"/>
    </xf>
    <xf numFmtId="169" fontId="6" fillId="10" borderId="33" xfId="26" applyFont="false" applyBorder="true" applyAlignment="true" applyProtection="false">
      <alignment horizontal="center" vertical="bottom" textRotation="0" wrapText="false" indent="0" shrinkToFit="false"/>
      <protection locked="true" hidden="false"/>
    </xf>
    <xf numFmtId="166" fontId="6" fillId="10" borderId="33" xfId="26" applyFont="true" applyBorder="true" applyAlignment="false" applyProtection="false">
      <alignment horizontal="general" vertical="bottom" textRotation="0" wrapText="false" indent="0" shrinkToFit="false"/>
      <protection locked="true" hidden="false"/>
    </xf>
    <xf numFmtId="169" fontId="6" fillId="5" borderId="34" xfId="26" applyFont="false" applyBorder="true" applyAlignment="true" applyProtection="false">
      <alignment horizontal="center" vertical="bottom" textRotation="0" wrapText="false" indent="0" shrinkToFit="false"/>
      <protection locked="true" hidden="false"/>
    </xf>
    <xf numFmtId="166" fontId="6" fillId="0" borderId="35" xfId="26" applyFont="true" applyBorder="true" applyAlignment="false" applyProtection="false">
      <alignment horizontal="general" vertical="bottom" textRotation="0" wrapText="false" indent="0" shrinkToFit="false"/>
      <protection locked="true" hidden="false"/>
    </xf>
    <xf numFmtId="169" fontId="6" fillId="0" borderId="36" xfId="26" applyFont="false" applyBorder="true" applyAlignment="false" applyProtection="false">
      <alignment horizontal="general" vertical="bottom" textRotation="0" wrapText="false" indent="0" shrinkToFit="false"/>
      <protection locked="true" hidden="false"/>
    </xf>
    <xf numFmtId="166" fontId="6" fillId="10" borderId="36" xfId="26" applyFont="false" applyBorder="true" applyAlignment="false" applyProtection="false">
      <alignment horizontal="general" vertical="bottom" textRotation="0" wrapText="false" indent="0" shrinkToFit="false"/>
      <protection locked="true" hidden="false"/>
    </xf>
    <xf numFmtId="166" fontId="6" fillId="10" borderId="37" xfId="26" applyFont="false" applyBorder="true" applyAlignment="false" applyProtection="false">
      <alignment horizontal="general" vertical="bottom" textRotation="0" wrapText="false" indent="0" shrinkToFit="false"/>
      <protection locked="true" hidden="false"/>
    </xf>
    <xf numFmtId="166" fontId="6" fillId="0" borderId="0" xfId="26" applyFont="false" applyBorder="false" applyAlignment="true" applyProtection="false">
      <alignment horizontal="general" vertical="bottom" textRotation="0" wrapText="true" indent="0" shrinkToFit="false"/>
      <protection locked="true" hidden="false"/>
    </xf>
    <xf numFmtId="166" fontId="12" fillId="7" borderId="38" xfId="26" applyFont="true" applyBorder="true" applyAlignment="false" applyProtection="false">
      <alignment horizontal="general" vertical="bottom" textRotation="0" wrapText="false" indent="0" shrinkToFit="false"/>
      <protection locked="true" hidden="false"/>
    </xf>
    <xf numFmtId="166" fontId="13" fillId="7" borderId="2" xfId="26" applyFont="true" applyBorder="true" applyAlignment="false" applyProtection="false">
      <alignment horizontal="general" vertical="bottom" textRotation="0" wrapText="false" indent="0" shrinkToFit="false"/>
      <protection locked="true" hidden="false"/>
    </xf>
    <xf numFmtId="166" fontId="12" fillId="8" borderId="2" xfId="26" applyFont="true" applyBorder="true" applyAlignment="false" applyProtection="false">
      <alignment horizontal="general" vertical="bottom" textRotation="0" wrapText="false" indent="0" shrinkToFit="false"/>
      <protection locked="true" hidden="false"/>
    </xf>
    <xf numFmtId="166" fontId="13" fillId="8" borderId="2" xfId="26" applyFont="true" applyBorder="true" applyAlignment="false" applyProtection="false">
      <alignment horizontal="general" vertical="bottom" textRotation="0" wrapText="false" indent="0" shrinkToFit="false"/>
      <protection locked="true" hidden="false"/>
    </xf>
    <xf numFmtId="166" fontId="13" fillId="8" borderId="39" xfId="26" applyFont="true" applyBorder="true" applyAlignment="false" applyProtection="false">
      <alignment horizontal="general" vertical="bottom" textRotation="0" wrapText="false" indent="0" shrinkToFit="false"/>
      <protection locked="true" hidden="false"/>
    </xf>
    <xf numFmtId="166" fontId="13" fillId="8" borderId="3" xfId="26" applyFont="true" applyBorder="true" applyAlignment="false" applyProtection="false">
      <alignment horizontal="general" vertical="bottom" textRotation="0" wrapText="false" indent="0" shrinkToFit="false"/>
      <protection locked="true" hidden="false"/>
    </xf>
    <xf numFmtId="166" fontId="6" fillId="0" borderId="1" xfId="26" applyFont="true" applyBorder="true" applyAlignment="false" applyProtection="false">
      <alignment horizontal="general" vertical="bottom" textRotation="0" wrapText="false" indent="0" shrinkToFit="false"/>
      <protection locked="true" hidden="false"/>
    </xf>
    <xf numFmtId="166" fontId="6" fillId="0" borderId="3" xfId="26" applyFont="false" applyBorder="true" applyAlignment="false" applyProtection="false">
      <alignment horizontal="general" vertical="bottom" textRotation="0" wrapText="false" indent="0" shrinkToFit="false"/>
      <protection locked="true" hidden="false"/>
    </xf>
    <xf numFmtId="166" fontId="6" fillId="0" borderId="2" xfId="26" applyFont="false" applyBorder="true" applyAlignment="false" applyProtection="false">
      <alignment horizontal="general" vertical="bottom" textRotation="0" wrapText="false" indent="0" shrinkToFit="false"/>
      <protection locked="true" hidden="false"/>
    </xf>
    <xf numFmtId="166" fontId="6" fillId="0" borderId="38" xfId="26" applyFont="false" applyBorder="true" applyAlignment="false" applyProtection="false">
      <alignment horizontal="general" vertical="bottom" textRotation="0" wrapText="false" indent="0" shrinkToFit="false"/>
      <protection locked="true" hidden="false"/>
    </xf>
    <xf numFmtId="166" fontId="6" fillId="0" borderId="8" xfId="26" applyFont="false" applyBorder="true" applyAlignment="false" applyProtection="false">
      <alignment horizontal="general" vertical="bottom" textRotation="0" wrapText="false" indent="0" shrinkToFit="false"/>
      <protection locked="true" hidden="false"/>
    </xf>
    <xf numFmtId="166" fontId="6" fillId="0" borderId="40" xfId="26" applyFont="false" applyBorder="true" applyAlignment="false" applyProtection="false">
      <alignment horizontal="general" vertical="bottom" textRotation="0" wrapText="false" indent="0" shrinkToFit="false"/>
      <protection locked="true" hidden="false"/>
    </xf>
    <xf numFmtId="166" fontId="6" fillId="0" borderId="20" xfId="26" applyFont="false" applyBorder="true" applyAlignment="false" applyProtection="false">
      <alignment horizontal="general" vertical="bottom" textRotation="0" wrapText="false" indent="0" shrinkToFit="false"/>
      <protection locked="true" hidden="false"/>
    </xf>
    <xf numFmtId="166" fontId="6" fillId="0" borderId="13" xfId="26" applyFont="true" applyBorder="true" applyAlignment="true" applyProtection="false">
      <alignment horizontal="center" vertical="bottom" textRotation="0" wrapText="true" indent="0" shrinkToFit="false"/>
      <protection locked="true" hidden="false"/>
    </xf>
    <xf numFmtId="166" fontId="6" fillId="0" borderId="41" xfId="26" applyFont="true" applyBorder="true" applyAlignment="true" applyProtection="false">
      <alignment horizontal="center" vertical="bottom" textRotation="0" wrapText="true" indent="0" shrinkToFit="false"/>
      <protection locked="true" hidden="false"/>
    </xf>
    <xf numFmtId="166" fontId="6" fillId="0" borderId="13" xfId="26" applyFont="true" applyBorder="true" applyAlignment="true" applyProtection="false">
      <alignment horizontal="center" vertical="bottom" textRotation="0" wrapText="true" indent="0" shrinkToFit="false"/>
      <protection locked="true" hidden="false"/>
    </xf>
    <xf numFmtId="166" fontId="6" fillId="0" borderId="40" xfId="26" applyFont="true" applyBorder="true" applyAlignment="true" applyProtection="false">
      <alignment horizontal="center" vertical="bottom" textRotation="0" wrapText="true" indent="0" shrinkToFit="false"/>
      <protection locked="true" hidden="false"/>
    </xf>
    <xf numFmtId="166" fontId="6" fillId="0" borderId="42" xfId="26" applyFont="true" applyBorder="true" applyAlignment="true" applyProtection="false">
      <alignment horizontal="center" vertical="bottom" textRotation="0" wrapText="false" indent="0" shrinkToFit="false"/>
      <protection locked="true" hidden="false"/>
    </xf>
    <xf numFmtId="166" fontId="6" fillId="0" borderId="13" xfId="26" applyFont="true" applyBorder="true" applyAlignment="true" applyProtection="false">
      <alignment horizontal="left" vertical="bottom" textRotation="0" wrapText="true" indent="0" shrinkToFit="false"/>
      <protection locked="true" hidden="false"/>
    </xf>
    <xf numFmtId="166" fontId="6" fillId="0" borderId="41" xfId="26" applyFont="true" applyBorder="true" applyAlignment="true" applyProtection="false">
      <alignment horizontal="left" vertical="bottom" textRotation="0" wrapText="true" indent="0" shrinkToFit="false"/>
      <protection locked="true" hidden="false"/>
    </xf>
    <xf numFmtId="166" fontId="6" fillId="0" borderId="13" xfId="26" applyFont="true" applyBorder="true" applyAlignment="true" applyProtection="false">
      <alignment horizontal="left" vertical="bottom" textRotation="0" wrapText="true" indent="0" shrinkToFit="false"/>
      <protection locked="true" hidden="false"/>
    </xf>
    <xf numFmtId="166" fontId="6" fillId="0" borderId="40" xfId="26" applyFont="true" applyBorder="true" applyAlignment="true" applyProtection="false">
      <alignment horizontal="left" vertical="bottom" textRotation="0" wrapText="true" indent="0" shrinkToFit="false"/>
      <protection locked="true" hidden="false"/>
    </xf>
    <xf numFmtId="166" fontId="6" fillId="0" borderId="20" xfId="26" applyFont="false" applyBorder="true" applyAlignment="true" applyProtection="false">
      <alignment horizontal="general" vertical="bottom" textRotation="0" wrapText="true" indent="0" shrinkToFit="false"/>
      <protection locked="true" hidden="false"/>
    </xf>
    <xf numFmtId="166" fontId="6" fillId="2" borderId="43" xfId="26" applyFont="false" applyBorder="true" applyAlignment="true" applyProtection="false">
      <alignment horizontal="center" vertical="bottom" textRotation="0" wrapText="false" indent="0" shrinkToFit="false"/>
      <protection locked="true" hidden="false"/>
    </xf>
    <xf numFmtId="166" fontId="6" fillId="2" borderId="44" xfId="26" applyFont="false" applyBorder="true" applyAlignment="true" applyProtection="false">
      <alignment horizontal="center" vertical="bottom" textRotation="0" wrapText="false" indent="0" shrinkToFit="false"/>
      <protection locked="true" hidden="false"/>
    </xf>
    <xf numFmtId="166" fontId="6" fillId="2" borderId="20" xfId="26" applyFont="false" applyBorder="true" applyAlignment="true" applyProtection="false">
      <alignment horizontal="center" vertical="bottom" textRotation="0" wrapText="false" indent="0" shrinkToFit="false"/>
      <protection locked="true" hidden="false"/>
    </xf>
    <xf numFmtId="166" fontId="6" fillId="2" borderId="18" xfId="26" applyFont="false" applyBorder="true" applyAlignment="true" applyProtection="false">
      <alignment horizontal="center" vertical="bottom" textRotation="0" wrapText="false" indent="0" shrinkToFit="false"/>
      <protection locked="true" hidden="false"/>
    </xf>
    <xf numFmtId="170" fontId="6" fillId="3" borderId="0" xfId="26" applyFont="false" applyBorder="true" applyAlignment="true" applyProtection="false">
      <alignment horizontal="center" vertical="bottom" textRotation="0" wrapText="false" indent="0" shrinkToFit="false"/>
      <protection locked="true" hidden="false"/>
    </xf>
    <xf numFmtId="166" fontId="6" fillId="2" borderId="19" xfId="26" applyFont="false" applyBorder="true" applyAlignment="true" applyProtection="false">
      <alignment horizontal="center" vertical="bottom" textRotation="0" wrapText="false" indent="0" shrinkToFit="false"/>
      <protection locked="true" hidden="false"/>
    </xf>
    <xf numFmtId="170" fontId="6" fillId="3" borderId="45" xfId="26" applyFont="false" applyBorder="true" applyAlignment="true" applyProtection="false">
      <alignment horizontal="center" vertical="bottom" textRotation="0" wrapText="false" indent="0" shrinkToFit="false"/>
      <protection locked="true" hidden="false"/>
    </xf>
    <xf numFmtId="170" fontId="6" fillId="3" borderId="14" xfId="26" applyFont="false" applyBorder="true" applyAlignment="true" applyProtection="false">
      <alignment horizontal="center" vertical="bottom" textRotation="0" wrapText="false" indent="0" shrinkToFit="false"/>
      <protection locked="true" hidden="false"/>
    </xf>
    <xf numFmtId="170" fontId="6" fillId="3" borderId="44" xfId="26" applyFont="false" applyBorder="true" applyAlignment="true" applyProtection="false">
      <alignment horizontal="center" vertical="bottom" textRotation="0" wrapText="false" indent="0" shrinkToFit="false"/>
      <protection locked="true" hidden="false"/>
    </xf>
    <xf numFmtId="166" fontId="6" fillId="0" borderId="20" xfId="26" applyFont="false" applyBorder="true" applyAlignment="true" applyProtection="false">
      <alignment horizontal="center" vertical="bottom" textRotation="0" wrapText="false" indent="0" shrinkToFit="false"/>
      <protection locked="true" hidden="false"/>
    </xf>
    <xf numFmtId="166" fontId="6" fillId="0" borderId="0" xfId="26" applyFont="false" applyBorder="false" applyAlignment="true" applyProtection="false">
      <alignment horizontal="center" vertical="bottom" textRotation="0" wrapText="false" indent="0" shrinkToFit="false"/>
      <protection locked="true" hidden="false"/>
    </xf>
    <xf numFmtId="169" fontId="6" fillId="0" borderId="0" xfId="26" applyFont="false" applyBorder="false" applyAlignment="true" applyProtection="false">
      <alignment horizontal="center" vertical="bottom" textRotation="0" wrapText="false" indent="0" shrinkToFit="false"/>
      <protection locked="true" hidden="false"/>
    </xf>
    <xf numFmtId="170" fontId="6" fillId="3" borderId="18" xfId="26" applyFont="false" applyBorder="true" applyAlignment="true" applyProtection="false">
      <alignment horizontal="center" vertical="bottom" textRotation="0" wrapText="false" indent="0" shrinkToFit="false"/>
      <protection locked="true" hidden="false"/>
    </xf>
    <xf numFmtId="166" fontId="6" fillId="2" borderId="46" xfId="26" applyFont="false" applyBorder="true" applyAlignment="true" applyProtection="false">
      <alignment horizontal="center" vertical="bottom" textRotation="0" wrapText="false" indent="0" shrinkToFit="false"/>
      <protection locked="true" hidden="false"/>
    </xf>
    <xf numFmtId="166" fontId="6" fillId="2" borderId="47" xfId="26" applyFont="false" applyBorder="true" applyAlignment="true" applyProtection="false">
      <alignment horizontal="center" vertical="bottom" textRotation="0" wrapText="false" indent="0" shrinkToFit="false"/>
      <protection locked="true" hidden="false"/>
    </xf>
    <xf numFmtId="166" fontId="6" fillId="2" borderId="48" xfId="26" applyFont="false" applyBorder="true" applyAlignment="true" applyProtection="false">
      <alignment horizontal="center" vertical="bottom" textRotation="0" wrapText="false" indent="0" shrinkToFit="false"/>
      <protection locked="true" hidden="false"/>
    </xf>
    <xf numFmtId="166" fontId="6" fillId="2" borderId="49" xfId="26" applyFont="false" applyBorder="true" applyAlignment="true" applyProtection="false">
      <alignment horizontal="center" vertical="bottom" textRotation="0" wrapText="false" indent="0" shrinkToFit="false"/>
      <protection locked="true" hidden="false"/>
    </xf>
    <xf numFmtId="170" fontId="6" fillId="3" borderId="49" xfId="26" applyFont="false" applyBorder="true" applyAlignment="true" applyProtection="false">
      <alignment horizontal="center" vertical="bottom" textRotation="0" wrapText="false" indent="0" shrinkToFit="false"/>
      <protection locked="true" hidden="false"/>
    </xf>
    <xf numFmtId="166" fontId="6" fillId="6" borderId="22" xfId="26" applyFont="false" applyBorder="true" applyAlignment="false" applyProtection="false">
      <alignment horizontal="general" vertical="bottom" textRotation="0" wrapText="false" indent="0" shrinkToFit="false"/>
      <protection locked="true" hidden="false"/>
    </xf>
    <xf numFmtId="166" fontId="6" fillId="2" borderId="46" xfId="26" applyFont="false" applyBorder="true" applyAlignment="false" applyProtection="false">
      <alignment horizontal="general" vertical="bottom" textRotation="0" wrapText="false" indent="0" shrinkToFit="false"/>
      <protection locked="true" hidden="false"/>
    </xf>
    <xf numFmtId="166" fontId="6" fillId="2" borderId="50" xfId="26" applyFont="false" applyBorder="true" applyAlignment="true" applyProtection="false">
      <alignment horizontal="center" vertical="bottom" textRotation="0" wrapText="false" indent="0" shrinkToFit="false"/>
      <protection locked="true" hidden="false"/>
    </xf>
    <xf numFmtId="166" fontId="6" fillId="0" borderId="22" xfId="26" applyFont="false" applyBorder="true" applyAlignment="true" applyProtection="false">
      <alignment horizontal="center" vertical="bottom" textRotation="0" wrapText="false" indent="0" shrinkToFit="false"/>
      <protection locked="true" hidden="false"/>
    </xf>
    <xf numFmtId="170" fontId="6" fillId="3" borderId="47" xfId="26" applyFont="false" applyBorder="true" applyAlignment="true" applyProtection="false">
      <alignment horizontal="center" vertical="bottom" textRotation="0" wrapText="false" indent="0" shrinkToFit="false"/>
      <protection locked="true" hidden="false"/>
    </xf>
    <xf numFmtId="166" fontId="6" fillId="0" borderId="0" xfId="26" applyFont="true" applyBorder="false" applyAlignment="false" applyProtection="false">
      <alignment horizontal="general" vertical="bottom" textRotation="0" wrapText="false" indent="0" shrinkToFit="false"/>
      <protection locked="true" hidden="false"/>
    </xf>
    <xf numFmtId="166" fontId="8" fillId="0" borderId="0" xfId="26" applyFont="true" applyBorder="true" applyAlignment="true" applyProtection="false">
      <alignment horizontal="left" vertical="bottom" textRotation="0" wrapText="true" indent="0" shrinkToFit="false"/>
      <protection locked="true" hidden="false"/>
    </xf>
    <xf numFmtId="166" fontId="6" fillId="9" borderId="23" xfId="26" applyFont="false" applyBorder="true" applyAlignment="false" applyProtection="false">
      <alignment horizontal="general" vertical="bottom" textRotation="0" wrapText="false" indent="0" shrinkToFit="false"/>
      <protection locked="true" hidden="false"/>
    </xf>
    <xf numFmtId="166" fontId="12" fillId="7" borderId="20" xfId="26" applyFont="true" applyBorder="true" applyAlignment="false" applyProtection="false">
      <alignment horizontal="general" vertical="bottom" textRotation="0" wrapText="false" indent="0" shrinkToFit="false"/>
      <protection locked="true" hidden="false"/>
    </xf>
    <xf numFmtId="166" fontId="13" fillId="7" borderId="18" xfId="26" applyFont="true" applyBorder="true" applyAlignment="false" applyProtection="false">
      <alignment horizontal="general" vertical="bottom" textRotation="0" wrapText="false" indent="0" shrinkToFit="false"/>
      <protection locked="true" hidden="false"/>
    </xf>
    <xf numFmtId="166" fontId="13" fillId="7" borderId="19" xfId="26" applyFont="true" applyBorder="true" applyAlignment="false" applyProtection="false">
      <alignment horizontal="general" vertical="bottom" textRotation="0" wrapText="false" indent="0" shrinkToFit="false"/>
      <protection locked="true" hidden="false"/>
    </xf>
    <xf numFmtId="166" fontId="12" fillId="8" borderId="20" xfId="26" applyFont="true" applyBorder="true" applyAlignment="false" applyProtection="false">
      <alignment horizontal="general" vertical="bottom" textRotation="0" wrapText="false" indent="0" shrinkToFit="false"/>
      <protection locked="true" hidden="false"/>
    </xf>
    <xf numFmtId="166" fontId="13" fillId="8" borderId="18" xfId="26" applyFont="true" applyBorder="true" applyAlignment="false" applyProtection="false">
      <alignment horizontal="general" vertical="bottom" textRotation="0" wrapText="false" indent="0" shrinkToFit="false"/>
      <protection locked="true" hidden="false"/>
    </xf>
    <xf numFmtId="166" fontId="6" fillId="0" borderId="18" xfId="26" applyFont="true" applyBorder="true" applyAlignment="true" applyProtection="false">
      <alignment horizontal="left" vertical="bottom" textRotation="0" wrapText="true" indent="0" shrinkToFit="false"/>
      <protection locked="true" hidden="false"/>
    </xf>
    <xf numFmtId="166" fontId="6" fillId="0" borderId="19" xfId="26" applyFont="true" applyBorder="true" applyAlignment="true" applyProtection="false">
      <alignment horizontal="left" vertical="bottom" textRotation="0" wrapText="true" indent="0" shrinkToFit="false"/>
      <protection locked="true" hidden="false"/>
    </xf>
    <xf numFmtId="166" fontId="6" fillId="3" borderId="19" xfId="26" applyFont="false" applyBorder="true" applyAlignment="true" applyProtection="false">
      <alignment horizontal="center" vertical="bottom" textRotation="0" wrapText="false" indent="0" shrinkToFit="false"/>
      <protection locked="true" hidden="false"/>
    </xf>
    <xf numFmtId="166" fontId="6" fillId="3" borderId="18" xfId="26" applyFont="false" applyBorder="true" applyAlignment="true" applyProtection="false">
      <alignment horizontal="center" vertical="bottom" textRotation="0" wrapText="false" indent="0" shrinkToFit="false"/>
      <protection locked="true" hidden="false"/>
    </xf>
    <xf numFmtId="166" fontId="6" fillId="9" borderId="18" xfId="26" applyFont="false" applyBorder="true" applyAlignment="false" applyProtection="false">
      <alignment horizontal="general" vertical="bottom" textRotation="0" wrapText="false" indent="0" shrinkToFit="false"/>
      <protection locked="true" hidden="false"/>
    </xf>
    <xf numFmtId="173" fontId="6" fillId="9" borderId="18" xfId="26" applyFont="false" applyBorder="true" applyAlignment="false" applyProtection="false">
      <alignment horizontal="general" vertical="bottom" textRotation="0" wrapText="false" indent="0" shrinkToFit="false"/>
      <protection locked="true" hidden="false"/>
    </xf>
    <xf numFmtId="166" fontId="12" fillId="9" borderId="18" xfId="26" applyFont="true" applyBorder="true" applyAlignment="false" applyProtection="false">
      <alignment horizontal="general" vertical="bottom" textRotation="0" wrapText="false" indent="0" shrinkToFit="false"/>
      <protection locked="true" hidden="false"/>
    </xf>
    <xf numFmtId="166" fontId="13" fillId="9" borderId="18" xfId="26" applyFont="true" applyBorder="true" applyAlignment="false" applyProtection="false">
      <alignment horizontal="general" vertical="bottom" textRotation="0" wrapText="false" indent="0" shrinkToFit="false"/>
      <protection locked="true" hidden="false"/>
    </xf>
    <xf numFmtId="166" fontId="6" fillId="9" borderId="18" xfId="26" applyFont="false" applyBorder="true" applyAlignment="true" applyProtection="false">
      <alignment horizontal="center" vertical="bottom" textRotation="0" wrapText="true" indent="0" shrinkToFit="false"/>
      <protection locked="true" hidden="false"/>
    </xf>
    <xf numFmtId="166" fontId="6" fillId="9" borderId="18" xfId="26" applyFont="false" applyBorder="true" applyAlignment="true" applyProtection="false">
      <alignment horizontal="general" vertical="bottom" textRotation="0" wrapText="true" indent="0" shrinkToFit="false"/>
      <protection locked="true" hidden="false"/>
    </xf>
    <xf numFmtId="166" fontId="6" fillId="9" borderId="18" xfId="26" applyFont="false" applyBorder="true" applyAlignment="true" applyProtection="false">
      <alignment horizontal="center" vertical="bottom" textRotation="0" wrapText="false" indent="0" shrinkToFit="false"/>
      <protection locked="true" hidden="false"/>
    </xf>
    <xf numFmtId="166" fontId="13" fillId="9" borderId="18" xfId="26" applyFont="true" applyBorder="true" applyAlignment="true" applyProtection="false">
      <alignment horizontal="center" vertical="bottom" textRotation="0" wrapText="false" indent="0" shrinkToFit="false"/>
      <protection locked="true" hidden="false"/>
    </xf>
    <xf numFmtId="166" fontId="6" fillId="0" borderId="0" xfId="26" applyFont="false" applyBorder="false" applyAlignment="true" applyProtection="false">
      <alignment horizontal="left" vertical="bottom" textRotation="0" wrapText="false" indent="0" shrinkToFit="false"/>
      <protection locked="true" hidden="false"/>
    </xf>
    <xf numFmtId="166" fontId="6" fillId="6" borderId="10" xfId="26" applyFont="false" applyBorder="true" applyAlignment="true" applyProtection="false">
      <alignment horizontal="left" vertical="bottom" textRotation="0" wrapText="false" indent="0" shrinkToFit="false"/>
      <protection locked="true" hidden="false"/>
    </xf>
    <xf numFmtId="174" fontId="6" fillId="0" borderId="10" xfId="26" applyFont="false" applyBorder="true" applyAlignment="false" applyProtection="false">
      <alignment horizontal="general" vertical="bottom" textRotation="0" wrapText="false" indent="0" shrinkToFit="false"/>
      <protection locked="true" hidden="false"/>
    </xf>
    <xf numFmtId="166" fontId="12" fillId="7" borderId="0" xfId="26" applyFont="true" applyBorder="true" applyAlignment="true" applyProtection="false">
      <alignment horizontal="left" vertical="bottom" textRotation="0" wrapText="false" indent="0" shrinkToFit="false"/>
      <protection locked="true" hidden="false"/>
    </xf>
    <xf numFmtId="166" fontId="13" fillId="7" borderId="0" xfId="26" applyFont="true" applyBorder="true" applyAlignment="false" applyProtection="false">
      <alignment horizontal="general" vertical="bottom" textRotation="0" wrapText="false" indent="0" shrinkToFit="false"/>
      <protection locked="true" hidden="false"/>
    </xf>
    <xf numFmtId="166" fontId="13" fillId="2" borderId="18" xfId="26" applyFont="true" applyBorder="true" applyAlignment="true" applyProtection="false">
      <alignment horizontal="center" vertical="bottom" textRotation="0" wrapText="false" indent="0" shrinkToFit="false"/>
      <protection locked="true" hidden="false"/>
    </xf>
    <xf numFmtId="175" fontId="6" fillId="3" borderId="18" xfId="26" applyFont="false" applyBorder="true" applyAlignment="true" applyProtection="false">
      <alignment horizontal="center" vertical="bottom" textRotation="0" wrapText="false" indent="0" shrinkToFit="false"/>
      <protection locked="true" hidden="false"/>
    </xf>
    <xf numFmtId="166" fontId="9" fillId="0" borderId="0" xfId="26" applyFont="true" applyBorder="true" applyAlignment="true" applyProtection="false">
      <alignment horizontal="center" vertical="bottom" textRotation="0" wrapText="true" indent="0" shrinkToFit="false"/>
      <protection locked="true" hidden="false"/>
    </xf>
    <xf numFmtId="166" fontId="9" fillId="0" borderId="0" xfId="26" applyFont="true" applyBorder="false" applyAlignment="true" applyProtection="false">
      <alignment horizontal="general" vertical="bottom" textRotation="0" wrapText="true" indent="0" shrinkToFit="false"/>
      <protection locked="true" hidden="false"/>
    </xf>
    <xf numFmtId="166" fontId="9" fillId="0" borderId="0" xfId="26" applyFont="true" applyBorder="false" applyAlignment="true" applyProtection="false">
      <alignment horizontal="center" vertical="bottom" textRotation="0" wrapText="true" indent="0" shrinkToFit="false"/>
      <protection locked="true" hidden="false"/>
    </xf>
    <xf numFmtId="166" fontId="6" fillId="0" borderId="51" xfId="26" applyFont="false" applyBorder="true" applyAlignment="false" applyProtection="false">
      <alignment horizontal="general" vertical="bottom" textRotation="0" wrapText="false" indent="0" shrinkToFit="false"/>
      <protection locked="true" hidden="false"/>
    </xf>
    <xf numFmtId="166" fontId="16" fillId="9" borderId="18" xfId="26" applyFont="true" applyBorder="true" applyAlignment="false" applyProtection="false">
      <alignment horizontal="general" vertical="bottom" textRotation="0" wrapText="false" indent="0" shrinkToFit="false"/>
      <protection locked="true" hidden="false"/>
    </xf>
    <xf numFmtId="166" fontId="17" fillId="9" borderId="18" xfId="20" applyFont="false" applyBorder="true" applyAlignment="true" applyProtection="true">
      <alignment horizontal="general" vertical="bottom" textRotation="0" wrapText="false" indent="0" shrinkToFit="false"/>
      <protection locked="true" hidden="false"/>
    </xf>
    <xf numFmtId="166" fontId="6" fillId="9" borderId="52" xfId="26" applyFont="false" applyBorder="true" applyAlignment="false" applyProtection="false">
      <alignment horizontal="general" vertical="bottom" textRotation="0" wrapText="false" indent="0" shrinkToFit="false"/>
      <protection locked="true" hidden="false"/>
    </xf>
    <xf numFmtId="166" fontId="6" fillId="9" borderId="53" xfId="26" applyFont="false" applyBorder="true" applyAlignment="false" applyProtection="false">
      <alignment horizontal="general" vertical="bottom" textRotation="0" wrapText="false" indent="0" shrinkToFit="false"/>
      <protection locked="true" hidden="false"/>
    </xf>
    <xf numFmtId="166" fontId="13" fillId="9" borderId="0" xfId="26" applyFont="true" applyBorder="true" applyAlignment="true" applyProtection="false">
      <alignment horizontal="left" vertical="bottom" textRotation="0" wrapText="false" indent="0" shrinkToFit="false"/>
      <protection locked="true" hidden="false"/>
    </xf>
    <xf numFmtId="166" fontId="6" fillId="9" borderId="1" xfId="26" applyFont="true" applyBorder="true" applyAlignment="false" applyProtection="false">
      <alignment horizontal="general" vertical="bottom" textRotation="0" wrapText="false" indent="0" shrinkToFit="false"/>
      <protection locked="true" hidden="false"/>
    </xf>
    <xf numFmtId="166" fontId="6" fillId="9" borderId="8" xfId="26" applyFont="true" applyBorder="true" applyAlignment="false" applyProtection="false">
      <alignment horizontal="general" vertical="bottom" textRotation="0" wrapText="false" indent="0" shrinkToFit="false"/>
      <protection locked="true" hidden="false"/>
    </xf>
    <xf numFmtId="166" fontId="6" fillId="9" borderId="9" xfId="26" applyFont="true" applyBorder="true" applyAlignment="false" applyProtection="false">
      <alignment horizontal="general" vertical="bottom" textRotation="0" wrapText="false" indent="0" shrinkToFit="false"/>
      <protection locked="true" hidden="false"/>
    </xf>
    <xf numFmtId="166" fontId="13" fillId="6" borderId="10" xfId="26" applyFont="true" applyBorder="true" applyAlignment="true" applyProtection="false">
      <alignment horizontal="left" vertical="bottom" textRotation="0" wrapText="false" indent="0" shrinkToFit="false"/>
      <protection locked="true" hidden="false"/>
    </xf>
    <xf numFmtId="166" fontId="6" fillId="6" borderId="10" xfId="26" applyFont="true" applyBorder="true" applyAlignment="true" applyProtection="false">
      <alignment horizontal="left" vertical="top" textRotation="0" wrapText="false" indent="0" shrinkToFit="false"/>
      <protection locked="true" hidden="false"/>
    </xf>
    <xf numFmtId="166" fontId="18" fillId="9" borderId="18" xfId="26" applyFont="true" applyBorder="true" applyAlignment="false" applyProtection="false">
      <alignment horizontal="general" vertical="bottom" textRotation="0" wrapText="false" indent="0" shrinkToFit="false"/>
      <protection locked="true" hidden="false"/>
    </xf>
    <xf numFmtId="166" fontId="18" fillId="9" borderId="18" xfId="26" applyFont="true" applyBorder="true" applyAlignment="true" applyProtection="false">
      <alignment horizontal="left" vertical="top" textRotation="0" wrapText="false" indent="0" shrinkToFit="false"/>
      <protection locked="true" hidden="false"/>
    </xf>
    <xf numFmtId="166" fontId="18" fillId="9" borderId="52" xfId="26" applyFont="true" applyBorder="true" applyAlignment="false" applyProtection="false">
      <alignment horizontal="general" vertical="bottom" textRotation="0" wrapText="false" indent="0" shrinkToFit="false"/>
      <protection locked="true" hidden="false"/>
    </xf>
    <xf numFmtId="166" fontId="18" fillId="9" borderId="53" xfId="26" applyFont="true" applyBorder="true" applyAlignment="false" applyProtection="false">
      <alignment horizontal="general" vertical="bottom" textRotation="0" wrapText="false" indent="0" shrinkToFit="false"/>
      <protection locked="true" hidden="false"/>
    </xf>
    <xf numFmtId="166" fontId="6" fillId="6" borderId="10" xfId="26" applyFont="true" applyBorder="true" applyAlignment="true" applyProtection="false">
      <alignment horizontal="left" vertical="bottom" textRotation="0" wrapText="false" indent="0" shrinkToFit="false"/>
      <protection locked="true" hidden="false"/>
    </xf>
    <xf numFmtId="169" fontId="6" fillId="0" borderId="38" xfId="26" applyFont="true" applyBorder="true" applyAlignment="false" applyProtection="false">
      <alignment horizontal="general" vertical="bottom" textRotation="0" wrapText="false" indent="0" shrinkToFit="false"/>
      <protection locked="true" hidden="false"/>
    </xf>
    <xf numFmtId="169" fontId="6" fillId="0" borderId="13" xfId="26" applyFont="true" applyBorder="true" applyAlignment="false" applyProtection="false">
      <alignment horizontal="general" vertical="bottom" textRotation="0" wrapText="false" indent="0" shrinkToFit="false"/>
      <protection locked="true" hidden="false"/>
    </xf>
    <xf numFmtId="166" fontId="6" fillId="11" borderId="7" xfId="26" applyFont="true" applyBorder="true" applyAlignment="false" applyProtection="false">
      <alignment horizontal="general" vertical="bottom" textRotation="0" wrapText="false" indent="0" shrinkToFit="false"/>
      <protection locked="true" hidden="false"/>
    </xf>
    <xf numFmtId="166" fontId="18" fillId="9" borderId="18" xfId="26" applyFont="true" applyBorder="true" applyAlignment="true" applyProtection="false">
      <alignment horizontal="center" vertical="bottom" textRotation="0" wrapText="false" indent="0" shrinkToFit="false"/>
      <protection locked="true" hidden="false"/>
    </xf>
    <xf numFmtId="166" fontId="18" fillId="9" borderId="52" xfId="26" applyFont="true" applyBorder="true" applyAlignment="true" applyProtection="false">
      <alignment horizontal="center" vertical="bottom" textRotation="0" wrapText="false" indent="0" shrinkToFit="false"/>
      <protection locked="true" hidden="false"/>
    </xf>
    <xf numFmtId="166" fontId="6" fillId="11" borderId="30" xfId="26" applyFont="true" applyBorder="true" applyAlignment="false" applyProtection="false">
      <alignment horizontal="general" vertical="bottom" textRotation="0" wrapText="false" indent="0" shrinkToFit="false"/>
      <protection locked="true" hidden="false"/>
    </xf>
    <xf numFmtId="175" fontId="6" fillId="0" borderId="13" xfId="26" applyFont="true" applyBorder="true" applyAlignment="false" applyProtection="false">
      <alignment horizontal="general" vertical="bottom" textRotation="0" wrapText="false" indent="0" shrinkToFit="false"/>
      <protection locked="true" hidden="false"/>
    </xf>
    <xf numFmtId="169" fontId="6" fillId="0" borderId="0" xfId="26" applyFont="false" applyBorder="true" applyAlignment="false" applyProtection="false">
      <alignment horizontal="general" vertical="bottom" textRotation="0" wrapText="false" indent="0" shrinkToFit="false"/>
      <protection locked="true" hidden="false"/>
    </xf>
    <xf numFmtId="175" fontId="6" fillId="0" borderId="11" xfId="26" applyFont="true" applyBorder="true" applyAlignment="false" applyProtection="false">
      <alignment horizontal="general" vertical="bottom" textRotation="0" wrapText="false" indent="0" shrinkToFit="false"/>
      <protection locked="true" hidden="false"/>
    </xf>
    <xf numFmtId="169" fontId="6" fillId="0" borderId="11" xfId="26" applyFont="true" applyBorder="true" applyAlignment="false" applyProtection="false">
      <alignment horizontal="general" vertical="bottom" textRotation="0" wrapText="false" indent="0" shrinkToFit="false"/>
      <protection locked="true" hidden="false"/>
    </xf>
    <xf numFmtId="166" fontId="6" fillId="11" borderId="12" xfId="26" applyFont="true" applyBorder="true" applyAlignment="false" applyProtection="false">
      <alignment horizontal="general" vertical="bottom" textRotation="0" wrapText="false" indent="0" shrinkToFit="false"/>
      <protection locked="true" hidden="false"/>
    </xf>
    <xf numFmtId="166" fontId="6" fillId="6" borderId="7" xfId="26" applyFont="true" applyBorder="true" applyAlignment="true" applyProtection="false">
      <alignment horizontal="left" vertical="bottom" textRotation="0" wrapText="false" indent="0" shrinkToFit="false"/>
      <protection locked="true" hidden="false"/>
    </xf>
    <xf numFmtId="175" fontId="6" fillId="10" borderId="7" xfId="26" applyFont="true" applyBorder="true" applyAlignment="false" applyProtection="false">
      <alignment horizontal="general" vertical="bottom" textRotation="0" wrapText="false" indent="0" shrinkToFit="false"/>
      <protection locked="true" hidden="false"/>
    </xf>
    <xf numFmtId="169" fontId="6" fillId="10" borderId="7" xfId="26" applyFont="true" applyBorder="true" applyAlignment="false" applyProtection="false">
      <alignment horizontal="general" vertical="bottom" textRotation="0" wrapText="false" indent="0" shrinkToFit="false"/>
      <protection locked="true" hidden="false"/>
    </xf>
    <xf numFmtId="176" fontId="6" fillId="10" borderId="7" xfId="26" applyFont="true" applyBorder="true" applyAlignment="false" applyProtection="false">
      <alignment horizontal="general" vertical="bottom" textRotation="0" wrapText="false" indent="0" shrinkToFit="false"/>
      <protection locked="true" hidden="false"/>
    </xf>
    <xf numFmtId="175" fontId="6" fillId="2" borderId="10" xfId="26" applyFont="true" applyBorder="true" applyAlignment="false" applyProtection="false">
      <alignment horizontal="general" vertical="bottom" textRotation="0" wrapText="false" indent="0" shrinkToFit="false"/>
      <protection locked="true" hidden="false"/>
    </xf>
    <xf numFmtId="169" fontId="6" fillId="2" borderId="10" xfId="26" applyFont="true" applyBorder="true" applyAlignment="false" applyProtection="false">
      <alignment horizontal="general" vertical="bottom" textRotation="0" wrapText="false" indent="0" shrinkToFit="false"/>
      <protection locked="true" hidden="false"/>
    </xf>
    <xf numFmtId="166" fontId="6" fillId="0" borderId="0" xfId="26" applyFont="false" applyBorder="true" applyAlignment="true" applyProtection="false">
      <alignment horizontal="left" vertical="top" textRotation="0" wrapText="false" indent="0" shrinkToFit="false"/>
      <protection locked="true" hidden="false"/>
    </xf>
    <xf numFmtId="166" fontId="6" fillId="9" borderId="54" xfId="26" applyFont="false" applyBorder="true" applyAlignment="false" applyProtection="false">
      <alignment horizontal="general" vertical="bottom" textRotation="0" wrapText="false" indent="0" shrinkToFit="false"/>
      <protection locked="true" hidden="false"/>
    </xf>
    <xf numFmtId="166" fontId="6" fillId="9" borderId="55" xfId="26" applyFont="false" applyBorder="true" applyAlignment="false" applyProtection="false">
      <alignment horizontal="general" vertical="bottom" textRotation="0" wrapText="false" indent="0" shrinkToFit="false"/>
      <protection locked="true" hidden="false"/>
    </xf>
    <xf numFmtId="166" fontId="17" fillId="0" borderId="18" xfId="20" applyFont="false" applyBorder="true" applyAlignment="true" applyProtection="true">
      <alignment horizontal="general" vertical="bottom" textRotation="0" wrapText="false" indent="0" shrinkToFit="false"/>
      <protection locked="true" hidden="false"/>
    </xf>
    <xf numFmtId="166" fontId="19" fillId="9" borderId="18" xfId="26" applyFont="true" applyBorder="true" applyAlignment="true" applyProtection="false">
      <alignment horizontal="center" vertical="center" textRotation="0" wrapText="true" indent="0" shrinkToFit="false"/>
      <protection locked="true" hidden="false"/>
    </xf>
    <xf numFmtId="166" fontId="17" fillId="9" borderId="18" xfId="20" applyFont="false" applyBorder="true" applyAlignment="true" applyProtection="true">
      <alignment horizontal="center" vertical="center" textRotation="0" wrapText="true" indent="0" shrinkToFit="false"/>
      <protection locked="true" hidden="false"/>
    </xf>
    <xf numFmtId="166" fontId="20" fillId="9" borderId="18" xfId="26" applyFont="true" applyBorder="true" applyAlignment="true" applyProtection="false">
      <alignment horizontal="general" vertical="center" textRotation="0" wrapText="true" indent="0" shrinkToFit="false"/>
      <protection locked="true" hidden="false"/>
    </xf>
    <xf numFmtId="166" fontId="21" fillId="9" borderId="18" xfId="26" applyFont="true" applyBorder="true" applyAlignment="true" applyProtection="false">
      <alignment horizontal="general" vertical="center" textRotation="0" wrapText="true" indent="0" shrinkToFit="false"/>
      <protection locked="true" hidden="false"/>
    </xf>
    <xf numFmtId="166" fontId="20" fillId="9" borderId="18" xfId="26" applyFont="true" applyBorder="true" applyAlignment="true" applyProtection="false">
      <alignment horizontal="general" vertical="center" textRotation="0" wrapText="false" indent="0" shrinkToFit="false"/>
      <protection locked="true" hidden="false"/>
    </xf>
    <xf numFmtId="166" fontId="17" fillId="9" borderId="18" xfId="20" applyFont="false" applyBorder="true" applyAlignment="true" applyProtection="true">
      <alignment horizontal="general" vertical="center" textRotation="0" wrapText="true" indent="0" shrinkToFit="false"/>
      <protection locked="true" hidden="false"/>
    </xf>
    <xf numFmtId="166" fontId="6" fillId="0" borderId="10" xfId="26" applyFont="false" applyBorder="true" applyAlignment="false" applyProtection="false">
      <alignment horizontal="general" vertical="bottom" textRotation="0" wrapText="false" indent="0" shrinkToFit="false"/>
      <protection locked="true" hidden="false"/>
    </xf>
    <xf numFmtId="173" fontId="6" fillId="10" borderId="10" xfId="26" applyFont="false" applyBorder="true" applyAlignment="false" applyProtection="false">
      <alignment horizontal="general" vertical="bottom" textRotation="0" wrapText="false" indent="0" shrinkToFit="false"/>
      <protection locked="true" hidden="false"/>
    </xf>
    <xf numFmtId="166" fontId="6" fillId="2" borderId="18" xfId="26" applyFont="false" applyBorder="true" applyAlignment="false" applyProtection="false">
      <alignment horizontal="general" vertical="bottom" textRotation="0" wrapText="false" indent="0" shrinkToFit="false"/>
      <protection locked="true" hidden="false"/>
    </xf>
    <xf numFmtId="166" fontId="6" fillId="0" borderId="56" xfId="26" applyFont="false" applyBorder="true" applyAlignment="false" applyProtection="false">
      <alignment horizontal="general" vertical="bottom" textRotation="0" wrapText="false" indent="0" shrinkToFit="false"/>
      <protection locked="true" hidden="false"/>
    </xf>
    <xf numFmtId="174" fontId="6" fillId="0" borderId="0" xfId="26" applyFont="false" applyBorder="false" applyAlignment="false" applyProtection="false">
      <alignment horizontal="general" vertical="bottom" textRotation="0" wrapText="false" indent="0" shrinkToFit="false"/>
      <protection locked="true" hidden="false"/>
    </xf>
    <xf numFmtId="174" fontId="6" fillId="10" borderId="10" xfId="26" applyFont="false" applyBorder="true" applyAlignment="false" applyProtection="false">
      <alignment horizontal="general" vertical="bottom" textRotation="0" wrapText="false" indent="0" shrinkToFit="false"/>
      <protection locked="true" hidden="false"/>
    </xf>
    <xf numFmtId="173" fontId="6" fillId="0" borderId="0" xfId="26" applyFont="false" applyBorder="false" applyAlignment="false" applyProtection="false">
      <alignment horizontal="general" vertical="bottom" textRotation="0" wrapText="false" indent="0" shrinkToFit="false"/>
      <protection locked="true" hidden="false"/>
    </xf>
    <xf numFmtId="177" fontId="6" fillId="10" borderId="10" xfId="26" applyFont="false" applyBorder="true" applyAlignment="false" applyProtection="false">
      <alignment horizontal="general" vertical="bottom" textRotation="0" wrapText="false" indent="0" shrinkToFit="false"/>
      <protection locked="true" hidden="false"/>
    </xf>
    <xf numFmtId="177" fontId="6" fillId="3" borderId="18" xfId="26" applyFont="false" applyBorder="true" applyAlignment="true" applyProtection="false">
      <alignment horizontal="right" vertical="bottom" textRotation="0" wrapText="false" indent="0" shrinkToFit="false"/>
      <protection locked="true" hidden="false"/>
    </xf>
    <xf numFmtId="166" fontId="6" fillId="6" borderId="0" xfId="26" applyFont="false" applyBorder="true" applyAlignment="true" applyProtection="false">
      <alignment horizontal="right" vertical="bottom" textRotation="0" wrapText="false" indent="0" shrinkToFit="false"/>
      <protection locked="true" hidden="false"/>
    </xf>
    <xf numFmtId="166" fontId="13" fillId="0" borderId="10" xfId="26" applyFont="true" applyBorder="true" applyAlignment="true" applyProtection="false">
      <alignment horizontal="center" vertical="bottom" textRotation="0" wrapText="false" indent="0" shrinkToFit="false"/>
      <protection locked="true" hidden="false"/>
    </xf>
    <xf numFmtId="166" fontId="13" fillId="0" borderId="0" xfId="26" applyFont="true" applyBorder="true" applyAlignment="true" applyProtection="false">
      <alignment horizontal="center" vertical="bottom" textRotation="0" wrapText="false" indent="0" shrinkToFit="false"/>
      <protection locked="true" hidden="false"/>
    </xf>
    <xf numFmtId="166" fontId="0" fillId="0" borderId="0" xfId="26" applyFont="true" applyBorder="true" applyAlignment="true" applyProtection="false">
      <alignment horizontal="center" vertical="bottom" textRotation="0" wrapText="false" indent="0" shrinkToFit="false"/>
      <protection locked="true" hidden="false"/>
    </xf>
    <xf numFmtId="166" fontId="6" fillId="0" borderId="10" xfId="26" applyFont="true" applyBorder="true" applyAlignment="true" applyProtection="false">
      <alignment horizontal="left" vertical="top" textRotation="0" wrapText="false" indent="0" shrinkToFit="false"/>
      <protection locked="true" hidden="false"/>
    </xf>
    <xf numFmtId="174" fontId="13" fillId="0" borderId="10" xfId="26" applyFont="true" applyBorder="true" applyAlignment="true" applyProtection="false">
      <alignment horizontal="center" vertical="bottom" textRotation="0" wrapText="false" indent="0" shrinkToFit="false"/>
      <protection locked="true" hidden="false"/>
    </xf>
    <xf numFmtId="174" fontId="13" fillId="0" borderId="0" xfId="26" applyFont="true" applyBorder="true" applyAlignment="true" applyProtection="false">
      <alignment horizontal="center" vertical="bottom" textRotation="0" wrapText="false" indent="0" shrinkToFit="false"/>
      <protection locked="true" hidden="false"/>
    </xf>
    <xf numFmtId="178" fontId="6" fillId="0" borderId="0" xfId="26" applyFont="false" applyBorder="true" applyAlignment="true" applyProtection="false">
      <alignment horizontal="right" vertical="bottom" textRotation="0" wrapText="false" indent="0" shrinkToFit="false"/>
      <protection locked="true" hidden="false"/>
    </xf>
    <xf numFmtId="166" fontId="6" fillId="0" borderId="0" xfId="26" applyFont="true" applyBorder="true" applyAlignment="true" applyProtection="false">
      <alignment horizontal="left" vertical="top" textRotation="0" wrapText="false" indent="0" shrinkToFit="false"/>
      <protection locked="true" hidden="false"/>
    </xf>
    <xf numFmtId="175" fontId="13" fillId="0" borderId="0" xfId="26" applyFont="true" applyBorder="true" applyAlignment="true" applyProtection="false">
      <alignment horizontal="center" vertical="bottom" textRotation="0" wrapText="false" indent="0" shrinkToFit="false"/>
      <protection locked="true" hidden="false"/>
    </xf>
    <xf numFmtId="166" fontId="6" fillId="0" borderId="18" xfId="26" applyFont="true" applyBorder="true" applyAlignment="true" applyProtection="false">
      <alignment horizontal="general" vertical="bottom" textRotation="0" wrapText="true" indent="0" shrinkToFit="false"/>
      <protection locked="true" hidden="false"/>
    </xf>
    <xf numFmtId="166" fontId="6" fillId="0" borderId="18" xfId="26" applyFont="true" applyBorder="true" applyAlignment="true" applyProtection="false">
      <alignment horizontal="general" vertical="bottom" textRotation="0" wrapText="true" indent="0" shrinkToFit="false"/>
      <protection locked="true" hidden="false"/>
    </xf>
    <xf numFmtId="166" fontId="6" fillId="0" borderId="18" xfId="26" applyFont="false" applyBorder="true" applyAlignment="true" applyProtection="false">
      <alignment horizontal="center" vertical="bottom" textRotation="0" wrapText="false" indent="0" shrinkToFit="false"/>
      <protection locked="true" hidden="false"/>
    </xf>
    <xf numFmtId="166" fontId="6" fillId="3" borderId="18" xfId="26" applyFont="false" applyBorder="true" applyAlignment="false" applyProtection="false">
      <alignment horizontal="general" vertical="bottom" textRotation="0" wrapText="false" indent="0" shrinkToFit="false"/>
      <protection locked="true" hidden="false"/>
    </xf>
    <xf numFmtId="166" fontId="6" fillId="6" borderId="0" xfId="26" applyFont="false" applyBorder="true" applyAlignment="true" applyProtection="false">
      <alignment horizontal="general" vertical="bottom" textRotation="0" wrapText="false" indent="0" shrinkToFit="false"/>
      <protection locked="true" hidden="false"/>
    </xf>
    <xf numFmtId="166" fontId="6" fillId="2" borderId="0" xfId="26" applyFont="false" applyBorder="true" applyAlignment="true" applyProtection="false">
      <alignment horizontal="center" vertical="bottom" textRotation="0" wrapText="false" indent="0" shrinkToFit="false"/>
      <protection locked="true" hidden="false"/>
    </xf>
    <xf numFmtId="166" fontId="10" fillId="0" borderId="0" xfId="26" applyFont="true" applyBorder="true" applyAlignment="true" applyProtection="false">
      <alignment horizontal="left" vertical="bottom" textRotation="0" wrapText="true" indent="0" shrinkToFit="false"/>
      <protection locked="true" hidden="false"/>
    </xf>
    <xf numFmtId="166" fontId="6" fillId="0" borderId="57" xfId="26" applyFont="false" applyBorder="true" applyAlignment="false" applyProtection="false">
      <alignment horizontal="general" vertical="bottom" textRotation="0" wrapText="false" indent="0" shrinkToFit="false"/>
      <protection locked="true" hidden="false"/>
    </xf>
    <xf numFmtId="166" fontId="0" fillId="0" borderId="58" xfId="26" applyFont="true" applyBorder="true" applyAlignment="false" applyProtection="false">
      <alignment horizontal="general" vertical="bottom" textRotation="0" wrapText="false" indent="0" shrinkToFit="false"/>
      <protection locked="true" hidden="false"/>
    </xf>
    <xf numFmtId="166" fontId="6" fillId="0" borderId="58" xfId="26" applyFont="false" applyBorder="true" applyAlignment="false" applyProtection="false">
      <alignment horizontal="general" vertical="bottom" textRotation="0" wrapText="false" indent="0" shrinkToFit="false"/>
      <protection locked="true" hidden="false"/>
    </xf>
    <xf numFmtId="166" fontId="6" fillId="0" borderId="59" xfId="26" applyFont="false" applyBorder="true" applyAlignment="false" applyProtection="false">
      <alignment horizontal="general" vertical="bottom" textRotation="0" wrapText="false" indent="0" shrinkToFit="false"/>
      <protection locked="true" hidden="false"/>
    </xf>
    <xf numFmtId="166" fontId="13" fillId="0" borderId="60" xfId="26" applyFont="true" applyBorder="true" applyAlignment="true" applyProtection="false">
      <alignment horizontal="center" vertical="bottom" textRotation="0" wrapText="false" indent="0" shrinkToFit="false"/>
      <protection locked="true" hidden="false"/>
    </xf>
    <xf numFmtId="166" fontId="13" fillId="0" borderId="60" xfId="26" applyFont="true" applyBorder="true" applyAlignment="true" applyProtection="false">
      <alignment horizontal="center" vertical="bottom" textRotation="0" wrapText="false" indent="0" shrinkToFit="false"/>
      <protection locked="true" hidden="false"/>
    </xf>
    <xf numFmtId="166" fontId="13" fillId="0" borderId="61" xfId="26" applyFont="true" applyBorder="true" applyAlignment="true" applyProtection="false">
      <alignment horizontal="center" vertical="bottom" textRotation="0" wrapText="false" indent="0" shrinkToFit="false"/>
      <protection locked="true" hidden="false"/>
    </xf>
    <xf numFmtId="179" fontId="6" fillId="2" borderId="0" xfId="26" applyFont="false" applyBorder="true" applyAlignment="true" applyProtection="false">
      <alignment horizontal="center" vertical="bottom" textRotation="0" wrapText="false" indent="0" shrinkToFit="false"/>
      <protection locked="true" hidden="false"/>
    </xf>
    <xf numFmtId="166" fontId="0" fillId="0" borderId="27" xfId="26" applyFont="true" applyBorder="true" applyAlignment="false" applyProtection="false">
      <alignment horizontal="general" vertical="bottom" textRotation="0" wrapText="false" indent="0" shrinkToFit="false"/>
      <protection locked="true" hidden="false"/>
    </xf>
    <xf numFmtId="166" fontId="0" fillId="0" borderId="10" xfId="26" applyFont="true" applyBorder="true" applyAlignment="true" applyProtection="false">
      <alignment horizontal="center" vertical="bottom" textRotation="0" wrapText="false" indent="0" shrinkToFit="false"/>
      <protection locked="true" hidden="false"/>
    </xf>
    <xf numFmtId="166" fontId="0" fillId="0" borderId="28" xfId="26" applyFont="true" applyBorder="true" applyAlignment="true" applyProtection="false">
      <alignment horizontal="center" vertical="bottom" textRotation="0" wrapText="false" indent="0" shrinkToFit="false"/>
      <protection locked="true" hidden="false"/>
    </xf>
    <xf numFmtId="166" fontId="6" fillId="0" borderId="27" xfId="26" applyFont="true" applyBorder="true" applyAlignment="false" applyProtection="false">
      <alignment horizontal="general" vertical="bottom" textRotation="0" wrapText="false" indent="0" shrinkToFit="false"/>
      <protection locked="true" hidden="false"/>
    </xf>
    <xf numFmtId="166" fontId="0" fillId="0" borderId="10" xfId="25" applyFont="false" applyBorder="true" applyAlignment="false" applyProtection="false">
      <alignment horizontal="general" vertical="bottom" textRotation="0" wrapText="false" indent="0" shrinkToFit="false"/>
      <protection locked="true" hidden="false"/>
    </xf>
    <xf numFmtId="166" fontId="0" fillId="0" borderId="28" xfId="25" applyFont="false" applyBorder="true" applyAlignment="false" applyProtection="false">
      <alignment horizontal="general" vertical="bottom" textRotation="0" wrapText="false" indent="0" shrinkToFit="false"/>
      <protection locked="true" hidden="false"/>
    </xf>
    <xf numFmtId="166" fontId="6" fillId="0" borderId="0" xfId="26" applyFont="true" applyBorder="true" applyAlignment="false" applyProtection="false">
      <alignment horizontal="general" vertical="bottom" textRotation="0" wrapText="false" indent="0" shrinkToFit="false"/>
      <protection locked="true" hidden="false"/>
    </xf>
    <xf numFmtId="166" fontId="0" fillId="0" borderId="29" xfId="26" applyFont="true" applyBorder="true" applyAlignment="false" applyProtection="false">
      <alignment horizontal="general" vertical="bottom" textRotation="0" wrapText="false" indent="0" shrinkToFit="false"/>
      <protection locked="true" hidden="false"/>
    </xf>
    <xf numFmtId="166" fontId="0" fillId="0" borderId="12" xfId="26" applyFont="true" applyBorder="true" applyAlignment="true" applyProtection="false">
      <alignment horizontal="center" vertical="bottom" textRotation="0" wrapText="false" indent="0" shrinkToFit="false"/>
      <protection locked="true" hidden="false"/>
    </xf>
    <xf numFmtId="166" fontId="20" fillId="0" borderId="12" xfId="26" applyFont="true" applyBorder="true" applyAlignment="false" applyProtection="false">
      <alignment horizontal="general" vertical="bottom" textRotation="0" wrapText="false" indent="0" shrinkToFit="false"/>
      <protection locked="true" hidden="false"/>
    </xf>
    <xf numFmtId="166" fontId="20" fillId="0" borderId="62" xfId="26" applyFont="true" applyBorder="true" applyAlignment="false" applyProtection="false">
      <alignment horizontal="general" vertical="bottom" textRotation="0" wrapText="false" indent="0" shrinkToFit="false"/>
      <protection locked="true" hidden="false"/>
    </xf>
    <xf numFmtId="166" fontId="17" fillId="0" borderId="0" xfId="20" applyFont="true" applyBorder="true" applyAlignment="true" applyProtection="true">
      <alignment horizontal="general" vertical="bottom" textRotation="0" wrapText="false" indent="0" shrinkToFit="false"/>
      <protection locked="true" hidden="false"/>
    </xf>
    <xf numFmtId="166" fontId="6" fillId="0" borderId="10" xfId="26" applyFont="true" applyBorder="true" applyAlignment="false" applyProtection="false">
      <alignment horizontal="general" vertical="bottom" textRotation="0" wrapText="false" indent="0" shrinkToFit="false"/>
      <protection locked="true" hidden="false"/>
    </xf>
    <xf numFmtId="166" fontId="6" fillId="0" borderId="10" xfId="26" applyFont="true" applyBorder="true" applyAlignment="false" applyProtection="false">
      <alignment horizontal="general" vertical="bottom" textRotation="0" wrapText="false" indent="0" shrinkToFit="false"/>
      <protection locked="true" hidden="false"/>
    </xf>
    <xf numFmtId="166" fontId="6" fillId="0" borderId="28" xfId="26" applyFont="true" applyBorder="true" applyAlignment="false" applyProtection="false">
      <alignment horizontal="general" vertical="bottom" textRotation="0" wrapText="false" indent="0" shrinkToFit="false"/>
      <protection locked="true" hidden="false"/>
    </xf>
    <xf numFmtId="166" fontId="6" fillId="0" borderId="28" xfId="26" applyFont="false" applyBorder="true" applyAlignment="false" applyProtection="false">
      <alignment horizontal="general" vertical="bottom" textRotation="0" wrapText="false" indent="0" shrinkToFit="false"/>
      <protection locked="true" hidden="false"/>
    </xf>
    <xf numFmtId="166" fontId="0" fillId="0" borderId="0" xfId="26" applyFont="true" applyBorder="true" applyAlignment="false" applyProtection="false">
      <alignment horizontal="general" vertical="bottom" textRotation="0" wrapText="false" indent="0" shrinkToFit="false"/>
      <protection locked="true" hidden="false"/>
    </xf>
    <xf numFmtId="166" fontId="0" fillId="0" borderId="32" xfId="26" applyFont="true" applyBorder="true" applyAlignment="false" applyProtection="false">
      <alignment horizontal="general" vertical="bottom" textRotation="0" wrapText="false" indent="0" shrinkToFit="false"/>
      <protection locked="true" hidden="false"/>
    </xf>
    <xf numFmtId="166" fontId="6" fillId="0" borderId="33" xfId="26" applyFont="false" applyBorder="true" applyAlignment="true" applyProtection="false">
      <alignment horizontal="center" vertical="bottom" textRotation="0" wrapText="false" indent="0" shrinkToFit="false"/>
      <protection locked="true" hidden="false"/>
    </xf>
    <xf numFmtId="166" fontId="6" fillId="0" borderId="33" xfId="26" applyFont="false" applyBorder="true" applyAlignment="false" applyProtection="false">
      <alignment horizontal="general" vertical="bottom" textRotation="0" wrapText="false" indent="0" shrinkToFit="false"/>
      <protection locked="true" hidden="false"/>
    </xf>
    <xf numFmtId="166" fontId="6" fillId="0" borderId="34" xfId="26" applyFont="false" applyBorder="true" applyAlignment="false" applyProtection="false">
      <alignment horizontal="general" vertical="bottom" textRotation="0" wrapText="false" indent="0" shrinkToFit="false"/>
      <protection locked="true" hidden="false"/>
    </xf>
    <xf numFmtId="166" fontId="6" fillId="0" borderId="33" xfId="26" applyFont="true" applyBorder="true" applyAlignment="false" applyProtection="false">
      <alignment horizontal="general" vertical="bottom" textRotation="0" wrapText="false" indent="0" shrinkToFit="false"/>
      <protection locked="true" hidden="false"/>
    </xf>
    <xf numFmtId="166" fontId="6" fillId="0" borderId="34" xfId="26" applyFont="true" applyBorder="true" applyAlignment="false" applyProtection="false">
      <alignment horizontal="general" vertical="bottom" textRotation="0" wrapText="false" indent="0" shrinkToFit="false"/>
      <protection locked="true" hidden="false"/>
    </xf>
    <xf numFmtId="166" fontId="6" fillId="0" borderId="63" xfId="26" applyFont="true" applyBorder="true" applyAlignment="true" applyProtection="false">
      <alignment horizontal="left" vertical="top" textRotation="0" wrapText="false" indent="0" shrinkToFit="false"/>
      <protection locked="true" hidden="false"/>
    </xf>
    <xf numFmtId="166" fontId="6" fillId="0" borderId="60" xfId="26" applyFont="true" applyBorder="true" applyAlignment="false" applyProtection="false">
      <alignment horizontal="general" vertical="bottom" textRotation="0" wrapText="false" indent="0" shrinkToFit="false"/>
      <protection locked="true" hidden="false"/>
    </xf>
    <xf numFmtId="166" fontId="6" fillId="0" borderId="61" xfId="26" applyFont="true" applyBorder="true" applyAlignment="true" applyProtection="false">
      <alignment horizontal="center" vertical="bottom" textRotation="0" wrapText="false" indent="0" shrinkToFit="false"/>
      <protection locked="true" hidden="false"/>
    </xf>
    <xf numFmtId="166" fontId="0" fillId="0" borderId="64" xfId="26" applyFont="true" applyBorder="true" applyAlignment="false" applyProtection="false">
      <alignment horizontal="general" vertical="bottom" textRotation="0" wrapText="false" indent="0" shrinkToFit="false"/>
      <protection locked="true" hidden="false"/>
    </xf>
    <xf numFmtId="166" fontId="13" fillId="8" borderId="65" xfId="26" applyFont="true" applyBorder="true" applyAlignment="true" applyProtection="false">
      <alignment horizontal="center" vertical="bottom" textRotation="0" wrapText="false" indent="0" shrinkToFit="false"/>
      <protection locked="true" hidden="false"/>
    </xf>
    <xf numFmtId="166" fontId="13" fillId="10" borderId="65" xfId="26" applyFont="true" applyBorder="true" applyAlignment="true" applyProtection="false">
      <alignment horizontal="center" vertical="bottom" textRotation="0" wrapText="false" indent="0" shrinkToFit="false"/>
      <protection locked="true" hidden="false"/>
    </xf>
    <xf numFmtId="166" fontId="13" fillId="10" borderId="66" xfId="26" applyFont="true" applyBorder="true" applyAlignment="true" applyProtection="false">
      <alignment horizontal="center" vertical="bottom" textRotation="0" wrapText="false" indent="0" shrinkToFit="false"/>
      <protection locked="true" hidden="false"/>
    </xf>
    <xf numFmtId="166" fontId="6" fillId="0" borderId="67" xfId="26" applyFont="false" applyBorder="true" applyAlignment="true" applyProtection="false">
      <alignment horizontal="left" vertical="top" textRotation="0" wrapText="false" indent="0" shrinkToFit="false"/>
      <protection locked="true" hidden="false"/>
    </xf>
    <xf numFmtId="166" fontId="6" fillId="0" borderId="12" xfId="26" applyFont="true" applyBorder="true" applyAlignment="false" applyProtection="false">
      <alignment horizontal="general" vertical="bottom" textRotation="0" wrapText="false" indent="0" shrinkToFit="false"/>
      <protection locked="true" hidden="false"/>
    </xf>
    <xf numFmtId="166" fontId="6" fillId="12" borderId="62" xfId="26" applyFont="false" applyBorder="true" applyAlignment="true" applyProtection="false">
      <alignment horizontal="center" vertical="bottom" textRotation="0" wrapText="false" indent="0" shrinkToFit="false"/>
      <protection locked="true" hidden="false"/>
    </xf>
    <xf numFmtId="175" fontId="6" fillId="8" borderId="10" xfId="26" applyFont="false" applyBorder="true" applyAlignment="true" applyProtection="false">
      <alignment horizontal="right" vertical="bottom" textRotation="0" wrapText="false" indent="0" shrinkToFit="false"/>
      <protection locked="true" hidden="false"/>
    </xf>
    <xf numFmtId="175" fontId="6" fillId="0" borderId="10" xfId="26" applyFont="false" applyBorder="true" applyAlignment="false" applyProtection="false">
      <alignment horizontal="general" vertical="bottom" textRotation="0" wrapText="false" indent="0" shrinkToFit="false"/>
      <protection locked="true" hidden="false"/>
    </xf>
    <xf numFmtId="166" fontId="6" fillId="12" borderId="28" xfId="26" applyFont="false" applyBorder="true" applyAlignment="true" applyProtection="false">
      <alignment horizontal="center" vertical="bottom" textRotation="0" wrapText="false" indent="0" shrinkToFit="false"/>
      <protection locked="true" hidden="false"/>
    </xf>
    <xf numFmtId="166" fontId="0" fillId="0" borderId="10" xfId="26" applyFont="true" applyBorder="true" applyAlignment="false" applyProtection="false">
      <alignment horizontal="general" vertical="bottom" textRotation="0" wrapText="false" indent="0" shrinkToFit="false"/>
      <protection locked="true" hidden="false"/>
    </xf>
    <xf numFmtId="166" fontId="6" fillId="8" borderId="10" xfId="26" applyFont="false" applyBorder="true" applyAlignment="false" applyProtection="false">
      <alignment horizontal="general" vertical="bottom" textRotation="0" wrapText="false" indent="0" shrinkToFit="false"/>
      <protection locked="true" hidden="false"/>
    </xf>
    <xf numFmtId="166" fontId="20" fillId="0" borderId="10" xfId="26" applyFont="true" applyBorder="true" applyAlignment="false" applyProtection="false">
      <alignment horizontal="general" vertical="bottom" textRotation="0" wrapText="false" indent="0" shrinkToFit="false"/>
      <protection locked="true" hidden="false"/>
    </xf>
    <xf numFmtId="166" fontId="6" fillId="0" borderId="35" xfId="26" applyFont="false" applyBorder="true" applyAlignment="true" applyProtection="false">
      <alignment horizontal="left" vertical="top" textRotation="0" wrapText="false" indent="0" shrinkToFit="false"/>
      <protection locked="true" hidden="false"/>
    </xf>
    <xf numFmtId="166" fontId="6" fillId="12" borderId="34" xfId="26" applyFont="false" applyBorder="true" applyAlignment="true" applyProtection="false">
      <alignment horizontal="center" vertical="bottom" textRotation="0" wrapText="false" indent="0" shrinkToFit="false"/>
      <protection locked="true" hidden="false"/>
    </xf>
    <xf numFmtId="166" fontId="22" fillId="0" borderId="10" xfId="26" applyFont="true" applyBorder="true" applyAlignment="false" applyProtection="false">
      <alignment horizontal="general" vertical="bottom" textRotation="0" wrapText="false" indent="0" shrinkToFit="false"/>
      <protection locked="true" hidden="false"/>
    </xf>
    <xf numFmtId="166" fontId="6" fillId="13" borderId="10" xfId="26" applyFont="true" applyBorder="true" applyAlignment="false" applyProtection="false">
      <alignment horizontal="general" vertical="bottom" textRotation="0" wrapText="false" indent="0" shrinkToFit="false"/>
      <protection locked="true" hidden="false"/>
    </xf>
    <xf numFmtId="166" fontId="13" fillId="10" borderId="10" xfId="26" applyFont="true" applyBorder="true" applyAlignment="true" applyProtection="false">
      <alignment horizontal="center" vertical="bottom" textRotation="0" wrapText="false" indent="0" shrinkToFit="false"/>
      <protection locked="true" hidden="false"/>
    </xf>
    <xf numFmtId="166" fontId="6" fillId="2" borderId="60" xfId="26" applyFont="true" applyBorder="true" applyAlignment="true" applyProtection="false">
      <alignment horizontal="center" vertical="bottom" textRotation="0" wrapText="false" indent="0" shrinkToFit="false"/>
      <protection locked="true" hidden="false"/>
    </xf>
    <xf numFmtId="166" fontId="0" fillId="0" borderId="60" xfId="26" applyFont="true" applyBorder="true" applyAlignment="true" applyProtection="false">
      <alignment horizontal="center" vertical="bottom" textRotation="0" wrapText="false" indent="0" shrinkToFit="false"/>
      <protection locked="true" hidden="false"/>
    </xf>
    <xf numFmtId="166" fontId="0" fillId="0" borderId="61" xfId="26" applyFont="true" applyBorder="true" applyAlignment="true" applyProtection="false">
      <alignment horizontal="center" vertical="bottom" textRotation="0" wrapText="false" indent="0" shrinkToFit="false"/>
      <protection locked="true" hidden="false"/>
    </xf>
    <xf numFmtId="166" fontId="0" fillId="0" borderId="10" xfId="26" applyFont="true" applyBorder="true" applyAlignment="true" applyProtection="false">
      <alignment horizontal="left" vertical="bottom" textRotation="0" wrapText="false" indent="0" shrinkToFit="false"/>
      <protection locked="true" hidden="false"/>
    </xf>
    <xf numFmtId="166" fontId="0" fillId="13" borderId="10" xfId="26" applyFont="true" applyBorder="true" applyAlignment="true" applyProtection="false">
      <alignment horizontal="center" vertical="bottom" textRotation="0" wrapText="false" indent="0" shrinkToFit="false"/>
      <protection locked="true" hidden="false"/>
    </xf>
    <xf numFmtId="174" fontId="6" fillId="0" borderId="10" xfId="26" applyFont="false" applyBorder="true" applyAlignment="false" applyProtection="false">
      <alignment horizontal="general" vertical="bottom" textRotation="0" wrapText="false" indent="0" shrinkToFit="false"/>
      <protection locked="true" hidden="false"/>
    </xf>
    <xf numFmtId="166" fontId="6" fillId="2" borderId="12" xfId="26" applyFont="false" applyBorder="true" applyAlignment="true" applyProtection="false">
      <alignment horizontal="right" vertical="bottom" textRotation="0" wrapText="false" indent="0" shrinkToFit="false"/>
      <protection locked="true" hidden="false"/>
    </xf>
    <xf numFmtId="175" fontId="6" fillId="0" borderId="12" xfId="26" applyFont="false" applyBorder="true" applyAlignment="true" applyProtection="false">
      <alignment horizontal="right" vertical="bottom" textRotation="0" wrapText="false" indent="0" shrinkToFit="false"/>
      <protection locked="true" hidden="false"/>
    </xf>
    <xf numFmtId="175" fontId="6" fillId="0" borderId="62" xfId="26" applyFont="false" applyBorder="true" applyAlignment="true" applyProtection="false">
      <alignment horizontal="right" vertical="bottom" textRotation="0" wrapText="false" indent="0" shrinkToFit="false"/>
      <protection locked="true" hidden="false"/>
    </xf>
    <xf numFmtId="166" fontId="6" fillId="2" borderId="10" xfId="26" applyFont="false" applyBorder="true" applyAlignment="true" applyProtection="false">
      <alignment horizontal="right" vertical="bottom" textRotation="0" wrapText="false" indent="0" shrinkToFit="false"/>
      <protection locked="true" hidden="false"/>
    </xf>
    <xf numFmtId="166" fontId="6" fillId="14" borderId="38" xfId="26" applyFont="false" applyBorder="true" applyAlignment="false" applyProtection="false">
      <alignment horizontal="general" vertical="bottom" textRotation="0" wrapText="false" indent="0" shrinkToFit="false"/>
      <protection locked="true" hidden="false"/>
    </xf>
    <xf numFmtId="166" fontId="6" fillId="14" borderId="8" xfId="26" applyFont="true" applyBorder="true" applyAlignment="false" applyProtection="false">
      <alignment horizontal="general" vertical="bottom" textRotation="0" wrapText="false" indent="0" shrinkToFit="false"/>
      <protection locked="true" hidden="false"/>
    </xf>
    <xf numFmtId="166" fontId="6" fillId="14" borderId="9" xfId="26" applyFont="false" applyBorder="true" applyAlignment="false" applyProtection="false">
      <alignment horizontal="general" vertical="bottom" textRotation="0" wrapText="false" indent="0" shrinkToFit="false"/>
      <protection locked="true" hidden="false"/>
    </xf>
    <xf numFmtId="166" fontId="6" fillId="14" borderId="13" xfId="26" applyFont="true" applyBorder="true" applyAlignment="false" applyProtection="false">
      <alignment horizontal="general" vertical="bottom" textRotation="0" wrapText="false" indent="0" shrinkToFit="false"/>
      <protection locked="true" hidden="false"/>
    </xf>
    <xf numFmtId="175" fontId="6" fillId="14" borderId="0" xfId="26" applyFont="false" applyBorder="true" applyAlignment="true" applyProtection="false">
      <alignment horizontal="center" vertical="bottom" textRotation="0" wrapText="false" indent="0" shrinkToFit="false"/>
      <protection locked="true" hidden="false"/>
    </xf>
    <xf numFmtId="179" fontId="6" fillId="14" borderId="0" xfId="19" applyFont="true" applyBorder="true" applyAlignment="true" applyProtection="true">
      <alignment horizontal="general" vertical="bottom" textRotation="0" wrapText="false" indent="0" shrinkToFit="false"/>
      <protection locked="true" hidden="false"/>
    </xf>
    <xf numFmtId="166" fontId="6" fillId="14" borderId="0" xfId="26" applyFont="false" applyBorder="true" applyAlignment="false" applyProtection="false">
      <alignment horizontal="general" vertical="bottom" textRotation="0" wrapText="false" indent="0" shrinkToFit="false"/>
      <protection locked="true" hidden="false"/>
    </xf>
    <xf numFmtId="166" fontId="6" fillId="14" borderId="40" xfId="26" applyFont="false" applyBorder="true" applyAlignment="false" applyProtection="false">
      <alignment horizontal="general" vertical="bottom" textRotation="0" wrapText="false" indent="0" shrinkToFit="false"/>
      <protection locked="true" hidden="false"/>
    </xf>
    <xf numFmtId="166" fontId="8" fillId="14" borderId="13" xfId="26" applyFont="true" applyBorder="true" applyAlignment="true" applyProtection="false">
      <alignment horizontal="left" vertical="bottom" textRotation="0" wrapText="false" indent="0" shrinkToFit="false"/>
      <protection locked="true" hidden="false"/>
    </xf>
    <xf numFmtId="175" fontId="8" fillId="14" borderId="0" xfId="26" applyFont="true" applyBorder="true" applyAlignment="true" applyProtection="false">
      <alignment horizontal="center" vertical="bottom" textRotation="0" wrapText="false" indent="0" shrinkToFit="false"/>
      <protection locked="true" hidden="false"/>
    </xf>
    <xf numFmtId="166" fontId="6" fillId="2" borderId="33" xfId="26" applyFont="false" applyBorder="true" applyAlignment="true" applyProtection="false">
      <alignment horizontal="right" vertical="bottom" textRotation="0" wrapText="false" indent="0" shrinkToFit="false"/>
      <protection locked="true" hidden="false"/>
    </xf>
    <xf numFmtId="175" fontId="6" fillId="0" borderId="36" xfId="26" applyFont="false" applyBorder="true" applyAlignment="true" applyProtection="false">
      <alignment horizontal="right" vertical="bottom" textRotation="0" wrapText="false" indent="0" shrinkToFit="false"/>
      <protection locked="true" hidden="false"/>
    </xf>
    <xf numFmtId="175" fontId="6" fillId="0" borderId="68" xfId="26" applyFont="false" applyBorder="true" applyAlignment="true" applyProtection="false">
      <alignment horizontal="right" vertical="bottom" textRotation="0" wrapText="false" indent="0" shrinkToFit="false"/>
      <protection locked="true" hidden="false"/>
    </xf>
    <xf numFmtId="166" fontId="6" fillId="14" borderId="13" xfId="26" applyFont="true" applyBorder="true" applyAlignment="true" applyProtection="false">
      <alignment horizontal="left" vertical="bottom" textRotation="0" wrapText="false" indent="0" shrinkToFit="false"/>
      <protection locked="true" hidden="false"/>
    </xf>
    <xf numFmtId="176" fontId="6" fillId="14" borderId="0" xfId="26" applyFont="false" applyBorder="true" applyAlignment="false" applyProtection="false">
      <alignment horizontal="general" vertical="bottom" textRotation="0" wrapText="false" indent="0" shrinkToFit="false"/>
      <protection locked="true" hidden="false"/>
    </xf>
    <xf numFmtId="166" fontId="6" fillId="0" borderId="60" xfId="26" applyFont="true" applyBorder="true" applyAlignment="true" applyProtection="false">
      <alignment horizontal="center" vertical="bottom" textRotation="0" wrapText="false" indent="0" shrinkToFit="false"/>
      <protection locked="true" hidden="false"/>
    </xf>
    <xf numFmtId="178" fontId="6" fillId="2" borderId="12" xfId="26" applyFont="false" applyBorder="true" applyAlignment="true" applyProtection="false">
      <alignment horizontal="right" vertical="bottom" textRotation="0" wrapText="false" indent="0" shrinkToFit="false"/>
      <protection locked="true" hidden="false"/>
    </xf>
    <xf numFmtId="178" fontId="6" fillId="0" borderId="12" xfId="26" applyFont="false" applyBorder="true" applyAlignment="true" applyProtection="false">
      <alignment horizontal="right" vertical="bottom" textRotation="0" wrapText="false" indent="0" shrinkToFit="false"/>
      <protection locked="true" hidden="false"/>
    </xf>
    <xf numFmtId="178" fontId="6" fillId="0" borderId="62" xfId="26" applyFont="false" applyBorder="true" applyAlignment="true" applyProtection="false">
      <alignment horizontal="right" vertical="bottom" textRotation="0" wrapText="false" indent="0" shrinkToFit="false"/>
      <protection locked="true" hidden="false"/>
    </xf>
    <xf numFmtId="178" fontId="6" fillId="2" borderId="10" xfId="26" applyFont="false" applyBorder="true" applyAlignment="true" applyProtection="false">
      <alignment horizontal="right" vertical="bottom" textRotation="0" wrapText="false" indent="0" shrinkToFit="false"/>
      <protection locked="true" hidden="false"/>
    </xf>
    <xf numFmtId="166" fontId="0" fillId="0" borderId="69" xfId="26" applyFont="true" applyBorder="true" applyAlignment="false" applyProtection="false">
      <alignment horizontal="general" vertical="bottom" textRotation="0" wrapText="false" indent="0" shrinkToFit="false"/>
      <protection locked="true" hidden="false"/>
    </xf>
    <xf numFmtId="166" fontId="13" fillId="8" borderId="70" xfId="26" applyFont="true" applyBorder="true" applyAlignment="true" applyProtection="false">
      <alignment horizontal="center" vertical="bottom" textRotation="0" wrapText="false" indent="0" shrinkToFit="false"/>
      <protection locked="true" hidden="false"/>
    </xf>
    <xf numFmtId="166" fontId="13" fillId="10" borderId="70" xfId="26" applyFont="true" applyBorder="true" applyAlignment="true" applyProtection="false">
      <alignment horizontal="center" vertical="bottom" textRotation="0" wrapText="false" indent="0" shrinkToFit="false"/>
      <protection locked="true" hidden="false"/>
    </xf>
    <xf numFmtId="166" fontId="13" fillId="10" borderId="71" xfId="26" applyFont="true" applyBorder="true" applyAlignment="true" applyProtection="false">
      <alignment horizontal="center" vertical="bottom" textRotation="0" wrapText="false" indent="0" shrinkToFit="false"/>
      <protection locked="true" hidden="false"/>
    </xf>
    <xf numFmtId="166" fontId="6" fillId="0" borderId="12" xfId="26" applyFont="true" applyBorder="true" applyAlignment="true" applyProtection="false">
      <alignment horizontal="left" vertical="bottom" textRotation="0" wrapText="false" indent="0" shrinkToFit="false"/>
      <protection locked="true" hidden="false"/>
    </xf>
    <xf numFmtId="175" fontId="6" fillId="8" borderId="12" xfId="26" applyFont="true" applyBorder="true" applyAlignment="true" applyProtection="false">
      <alignment horizontal="center" vertical="bottom" textRotation="0" wrapText="false" indent="0" shrinkToFit="false"/>
      <protection locked="true" hidden="false"/>
    </xf>
    <xf numFmtId="175" fontId="6" fillId="0" borderId="12" xfId="26" applyFont="false" applyBorder="true" applyAlignment="false" applyProtection="false">
      <alignment horizontal="general" vertical="bottom" textRotation="0" wrapText="false" indent="0" shrinkToFit="false"/>
      <protection locked="true" hidden="false"/>
    </xf>
    <xf numFmtId="166" fontId="6" fillId="9" borderId="0" xfId="26" applyFont="true" applyBorder="false" applyAlignment="false" applyProtection="false">
      <alignment horizontal="general" vertical="bottom" textRotation="0" wrapText="false" indent="0" shrinkToFit="false"/>
      <protection locked="true" hidden="false"/>
    </xf>
    <xf numFmtId="166" fontId="6" fillId="12" borderId="10" xfId="26" applyFont="false" applyBorder="true" applyAlignment="true" applyProtection="false">
      <alignment horizontal="right" vertical="bottom" textRotation="0" wrapText="false" indent="0" shrinkToFit="false"/>
      <protection locked="true" hidden="false"/>
    </xf>
    <xf numFmtId="166" fontId="6" fillId="12" borderId="28" xfId="26" applyFont="false" applyBorder="true" applyAlignment="true" applyProtection="false">
      <alignment horizontal="right" vertical="bottom" textRotation="0" wrapText="false" indent="0" shrinkToFit="false"/>
      <protection locked="true" hidden="false"/>
    </xf>
    <xf numFmtId="179" fontId="6" fillId="2" borderId="10" xfId="26" applyFont="false" applyBorder="true" applyAlignment="true" applyProtection="false">
      <alignment horizontal="right" vertical="bottom" textRotation="0" wrapText="false" indent="0" shrinkToFit="false"/>
      <protection locked="true" hidden="false"/>
    </xf>
    <xf numFmtId="179" fontId="6" fillId="12" borderId="10" xfId="26" applyFont="false" applyBorder="true" applyAlignment="true" applyProtection="false">
      <alignment horizontal="right" vertical="bottom" textRotation="0" wrapText="false" indent="0" shrinkToFit="false"/>
      <protection locked="true" hidden="false"/>
    </xf>
    <xf numFmtId="179" fontId="6" fillId="12" borderId="28" xfId="26" applyFont="false" applyBorder="true" applyAlignment="true" applyProtection="false">
      <alignment horizontal="right" vertical="bottom" textRotation="0" wrapText="false" indent="0" shrinkToFit="false"/>
      <protection locked="true" hidden="false"/>
    </xf>
    <xf numFmtId="179" fontId="6" fillId="2" borderId="33" xfId="26" applyFont="false" applyBorder="true" applyAlignment="true" applyProtection="false">
      <alignment horizontal="right" vertical="bottom" textRotation="0" wrapText="false" indent="0" shrinkToFit="false"/>
      <protection locked="true" hidden="false"/>
    </xf>
    <xf numFmtId="179" fontId="6" fillId="12" borderId="33" xfId="26" applyFont="false" applyBorder="true" applyAlignment="true" applyProtection="false">
      <alignment horizontal="right" vertical="bottom" textRotation="0" wrapText="false" indent="0" shrinkToFit="false"/>
      <protection locked="true" hidden="false"/>
    </xf>
    <xf numFmtId="179" fontId="6" fillId="12" borderId="34" xfId="26" applyFont="false" applyBorder="true" applyAlignment="true" applyProtection="false">
      <alignment horizontal="right" vertical="bottom" textRotation="0" wrapText="false" indent="0" shrinkToFit="false"/>
      <protection locked="true" hidden="false"/>
    </xf>
    <xf numFmtId="175" fontId="6" fillId="8" borderId="36" xfId="26" applyFont="false" applyBorder="true" applyAlignment="true" applyProtection="false">
      <alignment horizontal="right" vertical="bottom" textRotation="0" wrapText="false" indent="0" shrinkToFit="false"/>
      <protection locked="true" hidden="false"/>
    </xf>
    <xf numFmtId="175" fontId="6" fillId="0" borderId="36" xfId="26" applyFont="false" applyBorder="true" applyAlignment="false" applyProtection="false">
      <alignment horizontal="general" vertical="bottom" textRotation="0" wrapText="false" indent="0" shrinkToFit="false"/>
      <protection locked="true" hidden="false"/>
    </xf>
    <xf numFmtId="175" fontId="6" fillId="0" borderId="68" xfId="26" applyFont="false" applyBorder="true" applyAlignment="false" applyProtection="false">
      <alignment horizontal="general" vertical="bottom" textRotation="0" wrapText="false" indent="0" shrinkToFit="false"/>
      <protection locked="true" hidden="false"/>
    </xf>
    <xf numFmtId="166" fontId="0" fillId="0" borderId="63" xfId="26" applyFont="true" applyBorder="true" applyAlignment="true" applyProtection="false">
      <alignment horizontal="left" vertical="top" textRotation="0" wrapText="false" indent="0" shrinkToFit="false"/>
      <protection locked="true" hidden="false"/>
    </xf>
    <xf numFmtId="166" fontId="0" fillId="0" borderId="60" xfId="26" applyFont="true" applyBorder="true" applyAlignment="false" applyProtection="false">
      <alignment horizontal="general" vertical="bottom" textRotation="0" wrapText="false" indent="0" shrinkToFit="false"/>
      <protection locked="true" hidden="false"/>
    </xf>
    <xf numFmtId="166" fontId="6" fillId="0" borderId="10" xfId="26" applyFont="false" applyBorder="true" applyAlignment="true" applyProtection="false">
      <alignment horizontal="center" vertical="bottom" textRotation="0" wrapText="false" indent="0" shrinkToFit="false"/>
      <protection locked="true" hidden="false"/>
    </xf>
    <xf numFmtId="178" fontId="6" fillId="2" borderId="33" xfId="26" applyFont="false" applyBorder="true" applyAlignment="true" applyProtection="false">
      <alignment horizontal="right" vertical="bottom" textRotation="0" wrapText="false" indent="0" shrinkToFit="false"/>
      <protection locked="true" hidden="false"/>
    </xf>
    <xf numFmtId="178" fontId="6" fillId="0" borderId="36" xfId="26" applyFont="false" applyBorder="true" applyAlignment="true" applyProtection="false">
      <alignment horizontal="right" vertical="bottom" textRotation="0" wrapText="false" indent="0" shrinkToFit="false"/>
      <protection locked="true" hidden="false"/>
    </xf>
    <xf numFmtId="178" fontId="6" fillId="0" borderId="68" xfId="26" applyFont="false" applyBorder="true" applyAlignment="true" applyProtection="false">
      <alignment horizontal="right" vertical="bottom" textRotation="0" wrapText="false" indent="0" shrinkToFit="false"/>
      <protection locked="true" hidden="false"/>
    </xf>
    <xf numFmtId="178" fontId="6" fillId="2" borderId="0" xfId="26" applyFont="true" applyBorder="true" applyAlignment="true" applyProtection="false">
      <alignment horizontal="right" vertical="bottom" textRotation="0" wrapText="false" indent="0" shrinkToFit="false"/>
      <protection locked="true" hidden="false"/>
    </xf>
    <xf numFmtId="180" fontId="6" fillId="2" borderId="0" xfId="26" applyFont="false" applyBorder="true" applyAlignment="true" applyProtection="false">
      <alignment horizontal="right" vertical="bottom" textRotation="0" wrapText="false" indent="0" shrinkToFit="false"/>
      <protection locked="true" hidden="false"/>
    </xf>
    <xf numFmtId="180" fontId="6" fillId="0" borderId="0" xfId="26" applyFont="false" applyBorder="true" applyAlignment="true" applyProtection="false">
      <alignment horizontal="right" vertical="bottom" textRotation="0" wrapText="false" indent="0" shrinkToFit="false"/>
      <protection locked="true" hidden="false"/>
    </xf>
    <xf numFmtId="166" fontId="0" fillId="0" borderId="60" xfId="26" applyFont="true" applyBorder="true" applyAlignment="true" applyProtection="false">
      <alignment horizontal="left" vertical="bottom" textRotation="0" wrapText="false" indent="0" shrinkToFit="false"/>
      <protection locked="true" hidden="false"/>
    </xf>
    <xf numFmtId="166" fontId="6" fillId="0" borderId="10" xfId="26" applyFont="true" applyBorder="true" applyAlignment="true" applyProtection="false">
      <alignment horizontal="left" vertical="bottom" textRotation="0" wrapText="false" indent="0" shrinkToFit="false"/>
      <protection locked="true" hidden="false"/>
    </xf>
    <xf numFmtId="166" fontId="6" fillId="0" borderId="33" xfId="26" applyFont="true" applyBorder="true" applyAlignment="true" applyProtection="false">
      <alignment horizontal="left" vertical="bottom" textRotation="0" wrapText="false" indent="0" shrinkToFit="false"/>
      <protection locked="true" hidden="false"/>
    </xf>
    <xf numFmtId="166" fontId="6" fillId="0" borderId="64" xfId="26" applyFont="true" applyBorder="true" applyAlignment="true" applyProtection="false">
      <alignment horizontal="left" vertical="top" textRotation="0" wrapText="false" indent="0" shrinkToFit="false"/>
      <protection locked="true" hidden="false"/>
    </xf>
    <xf numFmtId="166" fontId="6" fillId="0" borderId="60" xfId="26" applyFont="true" applyBorder="true" applyAlignment="true" applyProtection="false">
      <alignment horizontal="left" vertical="bottom" textRotation="0" wrapText="false" indent="0" shrinkToFit="false"/>
      <protection locked="true" hidden="false"/>
    </xf>
    <xf numFmtId="178" fontId="6" fillId="2" borderId="60" xfId="26" applyFont="false" applyBorder="true" applyAlignment="true" applyProtection="false">
      <alignment horizontal="right" vertical="bottom" textRotation="0" wrapText="false" indent="0" shrinkToFit="false"/>
      <protection locked="true" hidden="false"/>
    </xf>
    <xf numFmtId="178" fontId="6" fillId="0" borderId="60" xfId="26" applyFont="false" applyBorder="true" applyAlignment="true" applyProtection="false">
      <alignment horizontal="right" vertical="bottom" textRotation="0" wrapText="false" indent="0" shrinkToFit="false"/>
      <protection locked="true" hidden="false"/>
    </xf>
    <xf numFmtId="178" fontId="6" fillId="0" borderId="61" xfId="26" applyFont="false" applyBorder="true" applyAlignment="true" applyProtection="false">
      <alignment horizontal="right" vertical="bottom" textRotation="0" wrapText="false" indent="0" shrinkToFit="false"/>
      <protection locked="true" hidden="false"/>
    </xf>
    <xf numFmtId="166" fontId="0" fillId="0" borderId="64" xfId="26" applyFont="true" applyBorder="true" applyAlignment="true" applyProtection="false">
      <alignment horizontal="left" vertical="top" textRotation="0" wrapText="false" indent="0" shrinkToFit="false"/>
      <protection locked="true" hidden="false"/>
    </xf>
    <xf numFmtId="181" fontId="6" fillId="2" borderId="60" xfId="26" applyFont="false" applyBorder="true" applyAlignment="true" applyProtection="false">
      <alignment horizontal="right" vertical="bottom" textRotation="0" wrapText="false" indent="0" shrinkToFit="false"/>
      <protection locked="true" hidden="false"/>
    </xf>
    <xf numFmtId="181" fontId="6" fillId="0" borderId="60" xfId="26" applyFont="false" applyBorder="true" applyAlignment="true" applyProtection="false">
      <alignment horizontal="right" vertical="bottom" textRotation="0" wrapText="false" indent="0" shrinkToFit="false"/>
      <protection locked="true" hidden="false"/>
    </xf>
    <xf numFmtId="181" fontId="6" fillId="0" borderId="61" xfId="26" applyFont="false" applyBorder="true" applyAlignment="true" applyProtection="false">
      <alignment horizontal="right" vertical="bottom" textRotation="0" wrapText="false" indent="0" shrinkToFit="false"/>
      <protection locked="true" hidden="false"/>
    </xf>
    <xf numFmtId="166" fontId="0" fillId="0" borderId="35" xfId="26" applyFont="true" applyBorder="true" applyAlignment="true" applyProtection="false">
      <alignment horizontal="left" vertical="top" textRotation="0" wrapText="false" indent="0" shrinkToFit="false"/>
      <protection locked="true" hidden="false"/>
    </xf>
    <xf numFmtId="166" fontId="0" fillId="0" borderId="33" xfId="26" applyFont="true" applyBorder="true" applyAlignment="true" applyProtection="false">
      <alignment horizontal="center" vertical="bottom" textRotation="0" wrapText="false" indent="0" shrinkToFit="false"/>
      <protection locked="true" hidden="false"/>
    </xf>
    <xf numFmtId="181" fontId="6" fillId="2" borderId="33" xfId="26" applyFont="false" applyBorder="true" applyAlignment="true" applyProtection="false">
      <alignment horizontal="right" vertical="bottom" textRotation="0" wrapText="false" indent="0" shrinkToFit="false"/>
      <protection locked="true" hidden="false"/>
    </xf>
    <xf numFmtId="181" fontId="6" fillId="0" borderId="36" xfId="26" applyFont="false" applyBorder="true" applyAlignment="true" applyProtection="false">
      <alignment horizontal="right" vertical="bottom" textRotation="0" wrapText="false" indent="0" shrinkToFit="false"/>
      <protection locked="true" hidden="false"/>
    </xf>
    <xf numFmtId="181" fontId="6" fillId="0" borderId="68" xfId="26" applyFont="false" applyBorder="true" applyAlignment="true" applyProtection="false">
      <alignment horizontal="right" vertical="bottom" textRotation="0" wrapText="false" indent="0" shrinkToFit="false"/>
      <protection locked="true" hidden="false"/>
    </xf>
    <xf numFmtId="174" fontId="6" fillId="8" borderId="10" xfId="26" applyFont="false" applyBorder="true" applyAlignment="false" applyProtection="false">
      <alignment horizontal="general" vertical="bottom" textRotation="0" wrapText="false" indent="0" shrinkToFit="false"/>
      <protection locked="true" hidden="false"/>
    </xf>
    <xf numFmtId="174" fontId="6" fillId="9" borderId="10" xfId="26" applyFont="false" applyBorder="true" applyAlignment="false" applyProtection="false">
      <alignment horizontal="general" vertical="bottom" textRotation="0" wrapText="false" indent="0" shrinkToFit="false"/>
      <protection locked="true" hidden="false"/>
    </xf>
    <xf numFmtId="173" fontId="6" fillId="9" borderId="10" xfId="26" applyFont="false" applyBorder="true" applyAlignment="false" applyProtection="false">
      <alignment horizontal="general" vertical="bottom" textRotation="0" wrapText="false" indent="0" shrinkToFit="false"/>
      <protection locked="true" hidden="false"/>
    </xf>
    <xf numFmtId="166" fontId="20" fillId="0" borderId="10" xfId="26" applyFont="true" applyBorder="true" applyAlignment="false" applyProtection="false">
      <alignment horizontal="general" vertical="bottom" textRotation="0" wrapText="false" indent="0" shrinkToFit="false"/>
      <protection locked="true" hidden="false"/>
    </xf>
    <xf numFmtId="174" fontId="20" fillId="13" borderId="10" xfId="26" applyFont="true" applyBorder="true" applyAlignment="false" applyProtection="false">
      <alignment horizontal="general" vertical="bottom" textRotation="0" wrapText="false" indent="0" shrinkToFit="false"/>
      <protection locked="true" hidden="false"/>
    </xf>
    <xf numFmtId="174" fontId="20" fillId="0" borderId="10" xfId="26" applyFont="true" applyBorder="true" applyAlignment="false" applyProtection="false">
      <alignment horizontal="general" vertical="bottom" textRotation="0" wrapText="false" indent="0" shrinkToFit="false"/>
      <protection locked="true" hidden="false"/>
    </xf>
    <xf numFmtId="175" fontId="6" fillId="8" borderId="10" xfId="26" applyFont="false" applyBorder="true" applyAlignment="false" applyProtection="false">
      <alignment horizontal="general" vertical="bottom" textRotation="0" wrapText="false" indent="0" shrinkToFit="false"/>
      <protection locked="true" hidden="false"/>
    </xf>
  </cellXfs>
  <cellStyles count="13">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Result" xfId="21" builtinId="53" customBuiltin="true"/>
    <cellStyle name="Result2" xfId="22" builtinId="53" customBuiltin="true"/>
    <cellStyle name="Heading" xfId="23" builtinId="53" customBuiltin="true"/>
    <cellStyle name="Heading1" xfId="24" builtinId="53" customBuiltin="true"/>
    <cellStyle name="Normal 2" xfId="25" builtinId="53" customBuiltin="true"/>
    <cellStyle name="Excel Built-in Normal" xfId="26" builtinId="53" customBuiltin="true"/>
    <cellStyle name="*unknown*" xfId="20" builtinId="8" customBuiltin="fals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2F2F2"/>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B0F0"/>
      <rgbColor rgb="FFCCFFFF"/>
      <rgbColor rgb="FFCCFFCC"/>
      <rgbColor rgb="FFFFFF99"/>
      <rgbColor rgb="FFB7DEE8"/>
      <rgbColor rgb="FFFF99CC"/>
      <rgbColor rgb="FFCC99FF"/>
      <rgbColor rgb="FFFFCC99"/>
      <rgbColor rgb="FF3366FF"/>
      <rgbColor rgb="FF33CCCC"/>
      <rgbColor rgb="FF92D050"/>
      <rgbColor rgb="FFFFC000"/>
      <rgbColor rgb="FFCC9900"/>
      <rgbColor rgb="FFFF6600"/>
      <rgbColor rgb="FF666699"/>
      <rgbColor rgb="FFA6A6A6"/>
      <rgbColor rgb="FF003366"/>
      <rgbColor rgb="FF339966"/>
      <rgbColor rgb="FF003300"/>
      <rgbColor rgb="FF333300"/>
      <rgbColor rgb="FF984807"/>
      <rgbColor rgb="FF993366"/>
      <rgbColor rgb="FF1F497D"/>
      <rgbColor rgb="FF4D4D4D"/>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sharedStrings" Target="sharedStrings.xml"/>
</Relationships>
</file>

<file path=xl/worksheets/_rels/sheet13.xml.rels><?xml version="1.0" encoding="UTF-8"?>
<Relationships xmlns="http://schemas.openxmlformats.org/package/2006/relationships"><Relationship Id="rId1" Type="http://schemas.openxmlformats.org/officeDocument/2006/relationships/hyperlink" Target="http://ec.europa.eu/budget/contracts_grants/info_contracts/inforeuro/inforeuro_en.cfm" TargetMode="External"/><Relationship Id="rId2" Type="http://schemas.openxmlformats.org/officeDocument/2006/relationships/hyperlink" Target="http://epp.eurostat.ec.europa.eu/tgm/download.do?tab=table&amp;plugin=1&amp;language=en&amp;pcode=tec00114" TargetMode="External"/><Relationship Id="rId3" Type="http://schemas.openxmlformats.org/officeDocument/2006/relationships/hyperlink" Target="https://www.gov.uk/government/uploads/system/uploads/attachment_data/file/51151/msb-technical-report.pdf" TargetMode="External"/><Relationship Id="rId4" Type="http://schemas.openxmlformats.org/officeDocument/2006/relationships/hyperlink" Target="http://www.dft.gov.uk/webtag/documents/archive/1208/unit3.9.5.pdf" TargetMode="External"/><Relationship Id="rId5" Type="http://schemas.openxmlformats.org/officeDocument/2006/relationships/hyperlink" Target="http://www.theaa.com/resources/Documents/pdf/motoring-advice/running-costs/petrol2013.pdf" TargetMode="External"/><Relationship Id="rId6" Type="http://schemas.openxmlformats.org/officeDocument/2006/relationships/hyperlink" Target="http://www.vtpi.org/tca/tca0510.pdf" TargetMode="Externa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B59"/>
  <sheetViews>
    <sheetView showFormulas="false" showGridLines="true" showRowColHeaders="true" showZeros="true" rightToLeft="false" tabSelected="true" showOutlineSymbols="true" defaultGridColor="true" view="normal" topLeftCell="A1" colorId="64" zoomScale="100" zoomScaleNormal="100" zoomScalePageLayoutView="60" workbookViewId="0">
      <selection pane="topLeft" activeCell="A1" activeCellId="0" sqref="A1"/>
    </sheetView>
  </sheetViews>
  <sheetFormatPr defaultRowHeight="14.05" zeroHeight="false" outlineLevelRow="0" outlineLevelCol="0"/>
  <cols>
    <col collapsed="false" customWidth="true" hidden="false" outlineLevel="0" max="1" min="1" style="1" width="19.1"/>
    <col collapsed="false" customWidth="true" hidden="false" outlineLevel="0" max="3" min="2" style="1" width="15.75"/>
    <col collapsed="false" customWidth="true" hidden="false" outlineLevel="0" max="9" min="4" style="1" width="17.76"/>
    <col collapsed="false" customWidth="true" hidden="false" outlineLevel="0" max="10" min="10" style="1" width="5.7"/>
    <col collapsed="false" customWidth="true" hidden="false" outlineLevel="0" max="11" min="11" style="1" width="15.75"/>
    <col collapsed="false" customWidth="true" hidden="false" outlineLevel="0" max="17" min="12" style="1" width="17.76"/>
    <col collapsed="false" customWidth="true" hidden="false" outlineLevel="0" max="18" min="18" style="1" width="15.75"/>
    <col collapsed="false" customWidth="true" hidden="false" outlineLevel="0" max="19" min="19" style="1" width="24.68"/>
    <col collapsed="false" customWidth="true" hidden="false" outlineLevel="0" max="26" min="20" style="1" width="15.75"/>
    <col collapsed="false" customWidth="true" hidden="false" outlineLevel="0" max="27" min="27" style="1" width="18.09"/>
    <col collapsed="false" customWidth="true" hidden="false" outlineLevel="0" max="29" min="28" style="1" width="15.75"/>
    <col collapsed="false" customWidth="true" hidden="false" outlineLevel="0" max="1025" min="30" style="1" width="8.71"/>
  </cols>
  <sheetData>
    <row r="1" customFormat="false" ht="14.05" hidden="false" customHeight="false" outlineLevel="0" collapsed="false">
      <c r="A1" s="2" t="s">
        <v>0</v>
      </c>
    </row>
    <row r="2" customFormat="false" ht="30.75" hidden="false" customHeight="true" outlineLevel="0" collapsed="false">
      <c r="A2" s="3" t="s">
        <v>1</v>
      </c>
      <c r="B2" s="3"/>
      <c r="C2" s="3"/>
      <c r="D2" s="3"/>
      <c r="E2" s="3"/>
      <c r="F2" s="3"/>
      <c r="G2" s="3"/>
      <c r="H2" s="3"/>
      <c r="I2" s="4"/>
    </row>
    <row r="3" customFormat="false" ht="14.05" hidden="false" customHeight="false" outlineLevel="0" collapsed="false">
      <c r="A3" s="5" t="s">
        <v>2</v>
      </c>
      <c r="B3" s="6"/>
      <c r="C3" s="6"/>
      <c r="D3" s="6"/>
      <c r="E3" s="7"/>
    </row>
    <row r="4" customFormat="false" ht="14.05" hidden="false" customHeight="false" outlineLevel="0" collapsed="false">
      <c r="A4" s="8" t="s">
        <v>3</v>
      </c>
      <c r="B4" s="9"/>
      <c r="C4" s="9"/>
      <c r="D4" s="9"/>
      <c r="E4" s="10"/>
      <c r="F4" s="11"/>
      <c r="G4" s="11"/>
    </row>
    <row r="5" customFormat="false" ht="14.05" hidden="false" customHeight="false" outlineLevel="0" collapsed="false">
      <c r="A5" s="12" t="s">
        <v>4</v>
      </c>
      <c r="B5" s="13"/>
      <c r="C5" s="13"/>
      <c r="D5" s="13"/>
      <c r="E5" s="14"/>
    </row>
    <row r="6" customFormat="false" ht="14.05" hidden="false" customHeight="false" outlineLevel="0" collapsed="false">
      <c r="A6" s="15" t="s">
        <v>5</v>
      </c>
      <c r="B6" s="16"/>
      <c r="C6" s="16"/>
      <c r="D6" s="16"/>
      <c r="E6" s="17"/>
    </row>
    <row r="7" customFormat="false" ht="14.4" hidden="false" customHeight="true" outlineLevel="0" collapsed="false">
      <c r="A7" s="18"/>
      <c r="B7" s="18"/>
      <c r="C7" s="18"/>
      <c r="D7" s="18"/>
      <c r="E7" s="18"/>
      <c r="F7" s="18"/>
      <c r="G7" s="18"/>
      <c r="H7" s="18"/>
      <c r="I7" s="18"/>
    </row>
    <row r="8" customFormat="false" ht="14.05" hidden="false" customHeight="false" outlineLevel="0" collapsed="false">
      <c r="A8" s="19" t="s">
        <v>6</v>
      </c>
      <c r="B8" s="20"/>
      <c r="C8" s="20"/>
      <c r="D8" s="20"/>
      <c r="E8" s="20"/>
      <c r="F8" s="20"/>
      <c r="G8" s="20"/>
      <c r="H8" s="20"/>
      <c r="I8" s="20"/>
    </row>
    <row r="9" customFormat="false" ht="14.4" hidden="false" customHeight="true" outlineLevel="0" collapsed="false">
      <c r="A9" s="3" t="s">
        <v>7</v>
      </c>
      <c r="B9" s="3"/>
      <c r="C9" s="3"/>
      <c r="D9" s="3"/>
      <c r="E9" s="3"/>
      <c r="F9" s="3"/>
      <c r="G9" s="3"/>
      <c r="H9" s="3"/>
    </row>
    <row r="10" customFormat="false" ht="14.05" hidden="false" customHeight="false" outlineLevel="0" collapsed="false">
      <c r="A10" s="21"/>
      <c r="B10" s="21"/>
      <c r="C10" s="21"/>
      <c r="D10" s="21"/>
      <c r="E10" s="21"/>
    </row>
    <row r="11" customFormat="false" ht="14.05" hidden="false" customHeight="false" outlineLevel="0" collapsed="false">
      <c r="A11" s="22" t="s">
        <v>8</v>
      </c>
    </row>
    <row r="12" customFormat="false" ht="14.4" hidden="false" customHeight="true" outlineLevel="0" collapsed="false">
      <c r="A12" s="3" t="s">
        <v>9</v>
      </c>
      <c r="B12" s="3"/>
      <c r="C12" s="3"/>
      <c r="D12" s="3"/>
      <c r="E12" s="3"/>
      <c r="F12" s="3"/>
      <c r="G12" s="3"/>
      <c r="H12" s="3"/>
    </row>
    <row r="13" customFormat="false" ht="14.9" hidden="false" customHeight="true" outlineLevel="0" collapsed="false">
      <c r="A13" s="3" t="s">
        <v>10</v>
      </c>
      <c r="B13" s="3"/>
      <c r="C13" s="3"/>
      <c r="D13" s="3"/>
      <c r="E13" s="3"/>
      <c r="F13" s="21"/>
      <c r="G13" s="21"/>
    </row>
    <row r="14" customFormat="false" ht="14.4" hidden="false" customHeight="true" outlineLevel="0" collapsed="false">
      <c r="A14" s="3" t="s">
        <v>11</v>
      </c>
      <c r="B14" s="3"/>
      <c r="C14" s="3"/>
      <c r="D14" s="3"/>
      <c r="E14" s="3"/>
      <c r="F14" s="21"/>
      <c r="G14" s="21"/>
    </row>
    <row r="15" customFormat="false" ht="14.05" hidden="false" customHeight="false" outlineLevel="0" collapsed="false">
      <c r="E15" s="11"/>
    </row>
    <row r="16" customFormat="false" ht="17.65" hidden="false" customHeight="false" outlineLevel="0" collapsed="false">
      <c r="A16" s="23" t="s">
        <v>12</v>
      </c>
      <c r="D16" s="23" t="s">
        <v>13</v>
      </c>
      <c r="E16" s="24"/>
      <c r="F16" s="11"/>
      <c r="G16" s="11"/>
    </row>
    <row r="17" customFormat="false" ht="14.05" hidden="false" customHeight="false" outlineLevel="0" collapsed="false">
      <c r="A17" s="25" t="s">
        <v>14</v>
      </c>
      <c r="B17" s="26" t="s">
        <v>15</v>
      </c>
      <c r="D17" s="25" t="s">
        <v>16</v>
      </c>
      <c r="E17" s="27" t="n">
        <f aca="false">S44</f>
        <v>-1786107.78868981</v>
      </c>
      <c r="F17" s="28"/>
      <c r="G17" s="29"/>
    </row>
    <row r="18" customFormat="false" ht="14.05" hidden="false" customHeight="false" outlineLevel="0" collapsed="false">
      <c r="A18" s="30" t="s">
        <v>17</v>
      </c>
      <c r="B18" s="31" t="n">
        <v>200000</v>
      </c>
      <c r="D18" s="30" t="s">
        <v>18</v>
      </c>
      <c r="E18" s="27" t="n">
        <f aca="false">Y44</f>
        <v>306570.897173888</v>
      </c>
    </row>
    <row r="19" customFormat="false" ht="14.05" hidden="false" customHeight="false" outlineLevel="0" collapsed="false">
      <c r="A19" s="30" t="s">
        <v>19</v>
      </c>
      <c r="B19" s="31" t="n">
        <v>2014</v>
      </c>
      <c r="D19" s="30" t="s">
        <v>20</v>
      </c>
      <c r="E19" s="27" t="n">
        <f aca="false">AA44</f>
        <v>-2092678.6858637</v>
      </c>
    </row>
    <row r="20" customFormat="false" ht="14.05" hidden="false" customHeight="false" outlineLevel="0" collapsed="false">
      <c r="A20" s="30" t="s">
        <v>21</v>
      </c>
      <c r="B20" s="32" t="n">
        <f aca="false">B19+14</f>
        <v>2028</v>
      </c>
      <c r="D20" s="30" t="s">
        <v>22</v>
      </c>
      <c r="E20" s="33" t="n">
        <f aca="false">E17/E18</f>
        <v>-5.82608396672671</v>
      </c>
      <c r="F20" s="1" t="s">
        <v>23</v>
      </c>
    </row>
    <row r="21" customFormat="false" ht="14.05" hidden="false" customHeight="false" outlineLevel="0" collapsed="false">
      <c r="A21" s="30" t="s">
        <v>24</v>
      </c>
      <c r="B21" s="32" t="n">
        <v>300</v>
      </c>
    </row>
    <row r="22" customFormat="false" ht="14.05" hidden="false" customHeight="false" outlineLevel="0" collapsed="false">
      <c r="A22" s="30" t="s">
        <v>25</v>
      </c>
      <c r="B22" s="32" t="n">
        <v>3.5</v>
      </c>
      <c r="D22" s="29"/>
      <c r="E22" s="34"/>
    </row>
    <row r="23" customFormat="false" ht="17.65" hidden="false" customHeight="false" outlineLevel="0" collapsed="false">
      <c r="B23" s="11"/>
      <c r="C23" s="11"/>
      <c r="D23" s="11"/>
      <c r="E23" s="11"/>
      <c r="F23" s="11"/>
      <c r="G23" s="11"/>
      <c r="H23" s="11"/>
      <c r="I23" s="11"/>
      <c r="J23" s="11"/>
      <c r="K23" s="11"/>
      <c r="L23" s="11"/>
      <c r="M23" s="11"/>
      <c r="N23" s="11"/>
      <c r="O23" s="11"/>
      <c r="P23" s="11"/>
      <c r="Q23" s="11"/>
      <c r="R23" s="11"/>
      <c r="S23" s="11"/>
      <c r="U23" s="35" t="s">
        <v>26</v>
      </c>
      <c r="V23" s="36"/>
      <c r="W23" s="36"/>
      <c r="X23" s="36"/>
      <c r="Y23" s="36"/>
      <c r="Z23" s="11"/>
    </row>
    <row r="24" customFormat="false" ht="17.65" hidden="false" customHeight="false" outlineLevel="0" collapsed="false">
      <c r="A24" s="37" t="s">
        <v>27</v>
      </c>
      <c r="B24" s="38"/>
      <c r="C24" s="38"/>
      <c r="D24" s="38"/>
      <c r="E24" s="38"/>
      <c r="F24" s="38"/>
      <c r="G24" s="38"/>
      <c r="H24" s="38"/>
      <c r="I24" s="38"/>
      <c r="J24" s="39"/>
      <c r="K24" s="40" t="s">
        <v>28</v>
      </c>
      <c r="L24" s="41"/>
      <c r="M24" s="41"/>
      <c r="N24" s="41"/>
      <c r="O24" s="40"/>
      <c r="P24" s="40"/>
      <c r="Q24" s="41"/>
      <c r="R24" s="39"/>
      <c r="S24" s="11"/>
      <c r="T24" s="39"/>
      <c r="U24" s="42" t="s">
        <v>27</v>
      </c>
      <c r="V24" s="38"/>
      <c r="W24" s="43" t="s">
        <v>28</v>
      </c>
      <c r="X24" s="44"/>
      <c r="Y24" s="36"/>
      <c r="Z24" s="39"/>
      <c r="AA24" s="11"/>
    </row>
    <row r="25" customFormat="false" ht="41.75" hidden="false" customHeight="false" outlineLevel="0" collapsed="false">
      <c r="A25" s="45" t="s">
        <v>29</v>
      </c>
      <c r="B25" s="46"/>
      <c r="C25" s="45" t="s">
        <v>30</v>
      </c>
      <c r="D25" s="47" t="s">
        <v>31</v>
      </c>
      <c r="E25" s="47" t="s">
        <v>32</v>
      </c>
      <c r="F25" s="47" t="s">
        <v>33</v>
      </c>
      <c r="G25" s="47" t="s">
        <v>34</v>
      </c>
      <c r="H25" s="47" t="s">
        <v>35</v>
      </c>
      <c r="I25" s="48" t="s">
        <v>36</v>
      </c>
      <c r="J25" s="49"/>
      <c r="K25" s="50" t="s">
        <v>30</v>
      </c>
      <c r="L25" s="47" t="s">
        <v>31</v>
      </c>
      <c r="M25" s="47" t="s">
        <v>32</v>
      </c>
      <c r="N25" s="47" t="s">
        <v>33</v>
      </c>
      <c r="O25" s="47" t="s">
        <v>34</v>
      </c>
      <c r="P25" s="47" t="s">
        <v>35</v>
      </c>
      <c r="Q25" s="48" t="s">
        <v>37</v>
      </c>
      <c r="R25" s="51"/>
      <c r="S25" s="52" t="s">
        <v>38</v>
      </c>
      <c r="T25" s="51"/>
      <c r="U25" s="53" t="s">
        <v>39</v>
      </c>
      <c r="V25" s="47" t="s">
        <v>40</v>
      </c>
      <c r="W25" s="53" t="s">
        <v>39</v>
      </c>
      <c r="X25" s="47" t="s">
        <v>40</v>
      </c>
      <c r="Y25" s="48" t="s">
        <v>41</v>
      </c>
      <c r="Z25" s="51"/>
      <c r="AA25" s="53" t="s">
        <v>42</v>
      </c>
      <c r="AB25" s="54"/>
    </row>
    <row r="26" customFormat="false" ht="14.05" hidden="false" customHeight="false" outlineLevel="0" collapsed="false">
      <c r="A26" s="55" t="n">
        <v>0</v>
      </c>
      <c r="B26" s="56" t="str">
        <f aca="false">IF($B$19=2013, "Starting year --&gt;","" )</f>
        <v/>
      </c>
      <c r="C26" s="57" t="n">
        <v>2013</v>
      </c>
      <c r="D26" s="58" t="n">
        <f aca="false">Time!N26</f>
        <v>0</v>
      </c>
      <c r="E26" s="59" t="n">
        <f aca="false">'Op cost New Public Vehicles'!J15+'Op cost NO New Vehicles'!E14+'Op cost New Public Vehicles'!D41</f>
        <v>0</v>
      </c>
      <c r="F26" s="58" t="n">
        <f aca="false">'Pollutants Public Transport'!F16+'Pollutants New Vehicles'!I29+'Pollutants Private Cars'!E13</f>
        <v>0</v>
      </c>
      <c r="G26" s="60" t="n">
        <f aca="false">Noise!E10</f>
        <v>0</v>
      </c>
      <c r="H26" s="58" t="n">
        <f aca="false">Safety!D14</f>
        <v>0</v>
      </c>
      <c r="I26" s="61" t="n">
        <f aca="false">(SUM(D26:H26)/(1+$B$22/100)^A26)</f>
        <v>0</v>
      </c>
      <c r="J26" s="62"/>
      <c r="K26" s="63" t="n">
        <f aca="false">C26</f>
        <v>2013</v>
      </c>
      <c r="L26" s="58" t="n">
        <f aca="false">Time!AB26</f>
        <v>0</v>
      </c>
      <c r="M26" s="59" t="n">
        <f aca="false">'Op cost NO New Vehicles'!J14+'Op cost New Public Vehicles'!T15+'Op cost New Public Vehicles'!I41</f>
        <v>0</v>
      </c>
      <c r="N26" s="60" t="n">
        <f aca="false">+'Pollutants New Vehicles'!R29+'Pollutants Public Transport'!L16+'Pollutants Private Cars'!J13</f>
        <v>0</v>
      </c>
      <c r="O26" s="60" t="n">
        <f aca="false">Noise!J10</f>
        <v>0</v>
      </c>
      <c r="P26" s="58" t="n">
        <f aca="false">Safety!H14</f>
        <v>0</v>
      </c>
      <c r="Q26" s="61" t="n">
        <f aca="false">SUM(L26:P26)/(1+$B$22/100)^A26</f>
        <v>0</v>
      </c>
      <c r="R26" s="39"/>
      <c r="S26" s="64" t="n">
        <f aca="false">I26-Q26</f>
        <v>0</v>
      </c>
      <c r="T26" s="39"/>
      <c r="U26" s="65" t="n">
        <f aca="false">'Construction Investment'!C20</f>
        <v>48600</v>
      </c>
      <c r="V26" s="65" t="n">
        <f aca="false">'Construction Investment'!D20</f>
        <v>0</v>
      </c>
      <c r="W26" s="66" t="n">
        <f aca="false">'Construction Investment'!G20</f>
        <v>364500</v>
      </c>
      <c r="X26" s="66" t="n">
        <f aca="false">'Construction Investment'!H20</f>
        <v>0</v>
      </c>
      <c r="Y26" s="61" t="n">
        <f aca="false">(X26+W26-U26-V26)/(1+$B$22/100)^A26</f>
        <v>315900</v>
      </c>
      <c r="Z26" s="39"/>
      <c r="AA26" s="67" t="n">
        <f aca="false">S26-Y26</f>
        <v>-315900</v>
      </c>
      <c r="AB26" s="54"/>
    </row>
    <row r="27" customFormat="false" ht="14.05" hidden="false" customHeight="false" outlineLevel="0" collapsed="false">
      <c r="A27" s="55" t="n">
        <v>1</v>
      </c>
      <c r="B27" s="56" t="str">
        <f aca="false">IF($B$19=2014, "Starting year --&gt;","" )</f>
        <v>Starting year --&gt;</v>
      </c>
      <c r="C27" s="57" t="n">
        <v>2014</v>
      </c>
      <c r="D27" s="58" t="n">
        <f aca="false">Time!N27</f>
        <v>749329.193455076</v>
      </c>
      <c r="E27" s="59" t="n">
        <f aca="false">'Op cost New Public Vehicles'!J16+'Op cost NO New Vehicles'!E15+'Op cost New Public Vehicles'!D42</f>
        <v>870183.68927037</v>
      </c>
      <c r="F27" s="58" t="n">
        <f aca="false">'Pollutants Public Transport'!F17+'Pollutants New Vehicles'!I30+'Pollutants Private Cars'!E14</f>
        <v>8872.72727275567</v>
      </c>
      <c r="G27" s="60" t="n">
        <f aca="false">Noise!E11</f>
        <v>0</v>
      </c>
      <c r="H27" s="58" t="n">
        <f aca="false">Safety!D15</f>
        <v>364415.584416751</v>
      </c>
      <c r="I27" s="61" t="n">
        <f aca="false">(SUM(D27:H27)/(1+$B$22/100)^A27)</f>
        <v>1925411.78204343</v>
      </c>
      <c r="J27" s="62"/>
      <c r="K27" s="63" t="n">
        <f aca="false">C27</f>
        <v>2014</v>
      </c>
      <c r="L27" s="58" t="n">
        <f aca="false">Time!AB27</f>
        <v>875792.057558789</v>
      </c>
      <c r="M27" s="59" t="n">
        <f aca="false">'Op cost NO New Vehicles'!J15+'Op cost New Public Vehicles'!T16+'Op cost New Public Vehicles'!I42</f>
        <v>1078789.36820505</v>
      </c>
      <c r="N27" s="60" t="n">
        <f aca="false">+'Pollutants New Vehicles'!R30+'Pollutants Public Transport'!L17+'Pollutants Private Cars'!J14</f>
        <v>11090.9090909446</v>
      </c>
      <c r="O27" s="60" t="n">
        <f aca="false">Noise!J11</f>
        <v>0</v>
      </c>
      <c r="P27" s="58" t="n">
        <f aca="false">Safety!H15</f>
        <v>182207.792208375</v>
      </c>
      <c r="Q27" s="61" t="n">
        <f aca="false">SUM(L27:P27)/(1+$B$22/100)^A27</f>
        <v>2075246.49957793</v>
      </c>
      <c r="R27" s="39"/>
      <c r="S27" s="64" t="n">
        <f aca="false">I27-Q27</f>
        <v>-149834.717534497</v>
      </c>
      <c r="T27" s="39"/>
      <c r="U27" s="65" t="n">
        <f aca="false">'Construction Investment'!C21</f>
        <v>0</v>
      </c>
      <c r="V27" s="65" t="n">
        <f aca="false">'Construction Investment'!D21</f>
        <v>3240</v>
      </c>
      <c r="W27" s="66" t="n">
        <f aca="false">'Construction Investment'!G21</f>
        <v>0</v>
      </c>
      <c r="X27" s="66" t="n">
        <f aca="false">'Construction Investment'!H21</f>
        <v>2430</v>
      </c>
      <c r="Y27" s="61" t="n">
        <f aca="false">(X27+W27-U27-V27)/(1+$B$22/100)^A27</f>
        <v>-782.608695652174</v>
      </c>
      <c r="Z27" s="39"/>
      <c r="AA27" s="67" t="n">
        <f aca="false">S27-Y27</f>
        <v>-149052.108838845</v>
      </c>
      <c r="AB27" s="54"/>
    </row>
    <row r="28" customFormat="false" ht="14.05" hidden="false" customHeight="false" outlineLevel="0" collapsed="false">
      <c r="A28" s="55" t="n">
        <v>2</v>
      </c>
      <c r="B28" s="56" t="str">
        <f aca="false">IF($B$19=2015, "Starting year --&gt;","" )</f>
        <v/>
      </c>
      <c r="C28" s="57" t="n">
        <v>2015</v>
      </c>
      <c r="D28" s="58" t="n">
        <f aca="false">Time!N28</f>
        <v>749329.193455076</v>
      </c>
      <c r="E28" s="59" t="n">
        <f aca="false">'Op cost New Public Vehicles'!J17+'Op cost NO New Vehicles'!E16+'Op cost New Public Vehicles'!D43</f>
        <v>870183.68927037</v>
      </c>
      <c r="F28" s="58" t="n">
        <f aca="false">'Pollutants Public Transport'!F18+'Pollutants New Vehicles'!I31+'Pollutants Private Cars'!E15</f>
        <v>8872.72727275567</v>
      </c>
      <c r="G28" s="60" t="n">
        <f aca="false">Noise!E12</f>
        <v>0</v>
      </c>
      <c r="H28" s="58" t="n">
        <f aca="false">Safety!D16</f>
        <v>364415.584416751</v>
      </c>
      <c r="I28" s="61" t="n">
        <f aca="false">(SUM(D28:H28)/(1+$B$22/100)^A28)</f>
        <v>1860301.23868931</v>
      </c>
      <c r="J28" s="68"/>
      <c r="K28" s="63" t="n">
        <f aca="false">C28</f>
        <v>2015</v>
      </c>
      <c r="L28" s="58" t="n">
        <f aca="false">Time!AB28</f>
        <v>875792.057558789</v>
      </c>
      <c r="M28" s="59" t="n">
        <f aca="false">'Op cost NO New Vehicles'!J16+'Op cost New Public Vehicles'!T17+'Op cost New Public Vehicles'!I43</f>
        <v>1078789.36820505</v>
      </c>
      <c r="N28" s="60" t="n">
        <f aca="false">+'Pollutants New Vehicles'!R31+'Pollutants Public Transport'!L18+'Pollutants Private Cars'!J15</f>
        <v>11090.9090909446</v>
      </c>
      <c r="O28" s="60" t="n">
        <f aca="false">Noise!J12</f>
        <v>0</v>
      </c>
      <c r="P28" s="58" t="n">
        <f aca="false">Safety!H16</f>
        <v>182207.792208375</v>
      </c>
      <c r="Q28" s="61" t="n">
        <f aca="false">SUM(L28:P28)/(1+$B$22/100)^A28</f>
        <v>2005069.08171781</v>
      </c>
      <c r="R28" s="68"/>
      <c r="S28" s="64" t="n">
        <f aca="false">I28-Q28</f>
        <v>-144767.8430285</v>
      </c>
      <c r="T28" s="68"/>
      <c r="U28" s="65" t="n">
        <f aca="false">'Construction Investment'!C22</f>
        <v>0</v>
      </c>
      <c r="V28" s="65" t="n">
        <f aca="false">'Construction Investment'!D22</f>
        <v>3240</v>
      </c>
      <c r="W28" s="66" t="n">
        <f aca="false">'Construction Investment'!G22</f>
        <v>0</v>
      </c>
      <c r="X28" s="66" t="n">
        <f aca="false">'Construction Investment'!H22</f>
        <v>2430</v>
      </c>
      <c r="Y28" s="61" t="n">
        <f aca="false">(X28+W28-U28-V28)/(1+$B$22/100)^A28</f>
        <v>-756.143667296787</v>
      </c>
      <c r="Z28" s="68"/>
      <c r="AA28" s="67" t="n">
        <f aca="false">S28-Y28</f>
        <v>-144011.699361203</v>
      </c>
    </row>
    <row r="29" customFormat="false" ht="14.05" hidden="false" customHeight="false" outlineLevel="0" collapsed="false">
      <c r="A29" s="55" t="n">
        <v>3</v>
      </c>
      <c r="B29" s="56" t="str">
        <f aca="false">IF($B$19=2016, "Starting year --&gt;","" )</f>
        <v/>
      </c>
      <c r="C29" s="57" t="n">
        <v>2016</v>
      </c>
      <c r="D29" s="58" t="n">
        <f aca="false">Time!N29</f>
        <v>749329.193455076</v>
      </c>
      <c r="E29" s="59" t="n">
        <f aca="false">'Op cost New Public Vehicles'!J18+'Op cost NO New Vehicles'!E17+'Op cost New Public Vehicles'!D44</f>
        <v>870183.68927037</v>
      </c>
      <c r="F29" s="58" t="n">
        <f aca="false">'Pollutants Public Transport'!F19+'Pollutants New Vehicles'!I32+'Pollutants Private Cars'!E16</f>
        <v>8872.72727275567</v>
      </c>
      <c r="G29" s="60" t="n">
        <f aca="false">Noise!E13</f>
        <v>0</v>
      </c>
      <c r="H29" s="58" t="n">
        <f aca="false">Safety!D17</f>
        <v>364415.584416751</v>
      </c>
      <c r="I29" s="61" t="n">
        <f aca="false">(SUM(D29:H29)/(1+$B$22/100)^A29)</f>
        <v>1797392.50114909</v>
      </c>
      <c r="J29" s="68"/>
      <c r="K29" s="63" t="n">
        <f aca="false">C29</f>
        <v>2016</v>
      </c>
      <c r="L29" s="58" t="n">
        <f aca="false">Time!AB29</f>
        <v>875792.057558789</v>
      </c>
      <c r="M29" s="59" t="n">
        <f aca="false">'Op cost NO New Vehicles'!J17+'Op cost New Public Vehicles'!T18+'Op cost New Public Vehicles'!I44</f>
        <v>1078789.36820505</v>
      </c>
      <c r="N29" s="60" t="n">
        <f aca="false">+'Pollutants New Vehicles'!R32+'Pollutants Public Transport'!L19+'Pollutants Private Cars'!J16</f>
        <v>11090.9090909446</v>
      </c>
      <c r="O29" s="60" t="n">
        <f aca="false">Noise!J13</f>
        <v>0</v>
      </c>
      <c r="P29" s="58" t="n">
        <f aca="false">Safety!H17</f>
        <v>182207.792208375</v>
      </c>
      <c r="Q29" s="61" t="n">
        <f aca="false">SUM(L29:P29)/(1+$B$22/100)^A29</f>
        <v>1937264.81325392</v>
      </c>
      <c r="R29" s="68"/>
      <c r="S29" s="64" t="n">
        <f aca="false">I29-Q29</f>
        <v>-139872.312104831</v>
      </c>
      <c r="T29" s="68"/>
      <c r="U29" s="65" t="n">
        <f aca="false">'Construction Investment'!C23</f>
        <v>0</v>
      </c>
      <c r="V29" s="65" t="n">
        <f aca="false">'Construction Investment'!D23</f>
        <v>3240</v>
      </c>
      <c r="W29" s="66" t="n">
        <f aca="false">'Construction Investment'!G23</f>
        <v>0</v>
      </c>
      <c r="X29" s="66" t="n">
        <f aca="false">'Construction Investment'!H23</f>
        <v>2430</v>
      </c>
      <c r="Y29" s="61" t="n">
        <f aca="false">(X29+W29-U29-V29)/(1+$B$22/100)^A29</f>
        <v>-730.573591591098</v>
      </c>
      <c r="Z29" s="68"/>
      <c r="AA29" s="67" t="n">
        <f aca="false">S29-Y29</f>
        <v>-139141.73851324</v>
      </c>
    </row>
    <row r="30" customFormat="false" ht="14.05" hidden="false" customHeight="false" outlineLevel="0" collapsed="false">
      <c r="A30" s="55" t="n">
        <v>4</v>
      </c>
      <c r="B30" s="56" t="str">
        <f aca="false">IF($B$19=2017, "Starting year --&gt;","" )</f>
        <v/>
      </c>
      <c r="C30" s="57" t="n">
        <v>2017</v>
      </c>
      <c r="D30" s="58" t="n">
        <f aca="false">Time!N30</f>
        <v>749329.193455076</v>
      </c>
      <c r="E30" s="59" t="n">
        <f aca="false">'Op cost New Public Vehicles'!J19+'Op cost NO New Vehicles'!E18+'Op cost New Public Vehicles'!D45</f>
        <v>870183.68927037</v>
      </c>
      <c r="F30" s="58" t="n">
        <f aca="false">'Pollutants Public Transport'!F20+'Pollutants New Vehicles'!I33+'Pollutants Private Cars'!E17</f>
        <v>8872.72727275567</v>
      </c>
      <c r="G30" s="60" t="n">
        <f aca="false">Noise!E14</f>
        <v>0</v>
      </c>
      <c r="H30" s="58" t="n">
        <f aca="false">Safety!D18</f>
        <v>364415.584416751</v>
      </c>
      <c r="I30" s="61" t="n">
        <f aca="false">(SUM(D30:H30)/(1+$B$22/100)^A30)</f>
        <v>1736611.11222134</v>
      </c>
      <c r="J30" s="68"/>
      <c r="K30" s="63" t="n">
        <f aca="false">C30</f>
        <v>2017</v>
      </c>
      <c r="L30" s="58" t="n">
        <f aca="false">Time!AB30</f>
        <v>875792.057558789</v>
      </c>
      <c r="M30" s="59" t="n">
        <f aca="false">'Op cost NO New Vehicles'!J18+'Op cost New Public Vehicles'!T19+'Op cost New Public Vehicles'!I45</f>
        <v>1078789.36820505</v>
      </c>
      <c r="N30" s="60" t="n">
        <f aca="false">+'Pollutants New Vehicles'!R33+'Pollutants Public Transport'!L20+'Pollutants Private Cars'!J17</f>
        <v>11090.9090909446</v>
      </c>
      <c r="O30" s="60" t="n">
        <f aca="false">Noise!J14</f>
        <v>0</v>
      </c>
      <c r="P30" s="58" t="n">
        <f aca="false">Safety!H18</f>
        <v>182207.792208375</v>
      </c>
      <c r="Q30" s="61" t="n">
        <f aca="false">SUM(L30:P30)/(1+$B$22/100)^A30</f>
        <v>1871753.44275741</v>
      </c>
      <c r="R30" s="68"/>
      <c r="S30" s="64" t="n">
        <f aca="false">I30-Q30</f>
        <v>-135142.330536068</v>
      </c>
      <c r="T30" s="68"/>
      <c r="U30" s="65" t="n">
        <f aca="false">'Construction Investment'!C24</f>
        <v>0</v>
      </c>
      <c r="V30" s="65" t="n">
        <f aca="false">'Construction Investment'!D24</f>
        <v>3240</v>
      </c>
      <c r="W30" s="66" t="n">
        <f aca="false">'Construction Investment'!G24</f>
        <v>0</v>
      </c>
      <c r="X30" s="66" t="n">
        <f aca="false">'Construction Investment'!H24</f>
        <v>2430</v>
      </c>
      <c r="Y30" s="61" t="n">
        <f aca="false">(X30+W30-U30-V30)/(1+$B$22/100)^A30</f>
        <v>-705.868204435844</v>
      </c>
      <c r="Z30" s="68"/>
      <c r="AA30" s="67" t="n">
        <f aca="false">S30-Y30</f>
        <v>-134436.462331633</v>
      </c>
    </row>
    <row r="31" customFormat="false" ht="14.05" hidden="false" customHeight="false" outlineLevel="0" collapsed="false">
      <c r="A31" s="55" t="n">
        <v>5</v>
      </c>
      <c r="B31" s="56" t="str">
        <f aca="false">IF($B$19=2018, "Starting year --&gt;","" )</f>
        <v/>
      </c>
      <c r="C31" s="57" t="n">
        <v>2018</v>
      </c>
      <c r="D31" s="58" t="n">
        <f aca="false">Time!N31</f>
        <v>749329.193455076</v>
      </c>
      <c r="E31" s="59" t="n">
        <f aca="false">'Op cost New Public Vehicles'!J20+'Op cost NO New Vehicles'!E19+'Op cost New Public Vehicles'!D46</f>
        <v>870183.68927037</v>
      </c>
      <c r="F31" s="58" t="n">
        <f aca="false">'Pollutants Public Transport'!F21+'Pollutants New Vehicles'!I34+'Pollutants Private Cars'!E18</f>
        <v>8872.72727275567</v>
      </c>
      <c r="G31" s="60" t="n">
        <f aca="false">Noise!E15</f>
        <v>0</v>
      </c>
      <c r="H31" s="58" t="n">
        <f aca="false">Safety!D19</f>
        <v>364415.584416751</v>
      </c>
      <c r="I31" s="61" t="n">
        <f aca="false">(SUM(D31:H31)/(1+$B$22/100)^A31)</f>
        <v>1677885.13258101</v>
      </c>
      <c r="J31" s="68"/>
      <c r="K31" s="63" t="n">
        <f aca="false">C31</f>
        <v>2018</v>
      </c>
      <c r="L31" s="58" t="n">
        <f aca="false">Time!AB31</f>
        <v>875792.057558789</v>
      </c>
      <c r="M31" s="59" t="n">
        <f aca="false">'Op cost NO New Vehicles'!J19+'Op cost New Public Vehicles'!T20+'Op cost New Public Vehicles'!I46</f>
        <v>1078789.36820505</v>
      </c>
      <c r="N31" s="60" t="n">
        <f aca="false">+'Pollutants New Vehicles'!R34+'Pollutants Public Transport'!L21+'Pollutants Private Cars'!J18</f>
        <v>11090.9090909446</v>
      </c>
      <c r="O31" s="60" t="n">
        <f aca="false">Noise!J15</f>
        <v>0</v>
      </c>
      <c r="P31" s="58" t="n">
        <f aca="false">Safety!H19</f>
        <v>182207.792208375</v>
      </c>
      <c r="Q31" s="61" t="n">
        <f aca="false">SUM(L31:P31)/(1+$B$22/100)^A31</f>
        <v>1808457.43261586</v>
      </c>
      <c r="R31" s="68"/>
      <c r="S31" s="64" t="n">
        <f aca="false">I31-Q31</f>
        <v>-130572.300034849</v>
      </c>
      <c r="T31" s="68"/>
      <c r="U31" s="65" t="n">
        <f aca="false">'Construction Investment'!C25</f>
        <v>0</v>
      </c>
      <c r="V31" s="65" t="n">
        <f aca="false">'Construction Investment'!D25</f>
        <v>3240</v>
      </c>
      <c r="W31" s="66" t="n">
        <f aca="false">'Construction Investment'!G25</f>
        <v>0</v>
      </c>
      <c r="X31" s="66" t="n">
        <f aca="false">'Construction Investment'!H25</f>
        <v>2430</v>
      </c>
      <c r="Y31" s="61" t="n">
        <f aca="false">(X31+W31-U31-V31)/(1+$B$22/100)^A31</f>
        <v>-681.998265155405</v>
      </c>
      <c r="Z31" s="68"/>
      <c r="AA31" s="67" t="n">
        <f aca="false">S31-Y31</f>
        <v>-129890.301769693</v>
      </c>
    </row>
    <row r="32" customFormat="false" ht="14.05" hidden="false" customHeight="false" outlineLevel="0" collapsed="false">
      <c r="A32" s="55" t="n">
        <v>6</v>
      </c>
      <c r="B32" s="56" t="str">
        <f aca="false">IF($B$19=2019, "Starting year --&gt;","" )</f>
        <v/>
      </c>
      <c r="C32" s="57" t="n">
        <v>2019</v>
      </c>
      <c r="D32" s="58" t="n">
        <f aca="false">Time!N32</f>
        <v>749329.193455076</v>
      </c>
      <c r="E32" s="59" t="n">
        <f aca="false">'Op cost New Public Vehicles'!J21+'Op cost NO New Vehicles'!E20+'Op cost New Public Vehicles'!D47</f>
        <v>870183.68927037</v>
      </c>
      <c r="F32" s="58" t="n">
        <f aca="false">'Pollutants Public Transport'!F22+'Pollutants New Vehicles'!I35+'Pollutants Private Cars'!E19</f>
        <v>8872.72727275567</v>
      </c>
      <c r="G32" s="60" t="n">
        <f aca="false">Noise!E16</f>
        <v>0</v>
      </c>
      <c r="H32" s="58" t="n">
        <f aca="false">Safety!D20</f>
        <v>364415.584416751</v>
      </c>
      <c r="I32" s="61" t="n">
        <f aca="false">(SUM(D32:H32)/(1+$B$22/100)^A32)</f>
        <v>1621145.05563382</v>
      </c>
      <c r="J32" s="68"/>
      <c r="K32" s="63" t="n">
        <f aca="false">C32</f>
        <v>2019</v>
      </c>
      <c r="L32" s="58" t="n">
        <f aca="false">Time!AB32</f>
        <v>875792.057558789</v>
      </c>
      <c r="M32" s="59" t="n">
        <f aca="false">'Op cost NO New Vehicles'!J20+'Op cost New Public Vehicles'!T21+'Op cost New Public Vehicles'!I47</f>
        <v>1078789.36820505</v>
      </c>
      <c r="N32" s="60" t="n">
        <f aca="false">+'Pollutants New Vehicles'!R35+'Pollutants Public Transport'!L22+'Pollutants Private Cars'!J19</f>
        <v>11090.9090909446</v>
      </c>
      <c r="O32" s="60" t="n">
        <f aca="false">Noise!J16</f>
        <v>0</v>
      </c>
      <c r="P32" s="58" t="n">
        <f aca="false">Safety!H20</f>
        <v>182207.792208375</v>
      </c>
      <c r="Q32" s="61" t="n">
        <f aca="false">SUM(L32:P32)/(1+$B$22/100)^A32</f>
        <v>1747301.8672617</v>
      </c>
      <c r="R32" s="68"/>
      <c r="S32" s="64" t="n">
        <f aca="false">I32-Q32</f>
        <v>-126156.811627873</v>
      </c>
      <c r="T32" s="68"/>
      <c r="U32" s="65" t="n">
        <f aca="false">'Construction Investment'!C26</f>
        <v>0</v>
      </c>
      <c r="V32" s="65" t="n">
        <f aca="false">'Construction Investment'!D26</f>
        <v>3240</v>
      </c>
      <c r="W32" s="66" t="n">
        <f aca="false">'Construction Investment'!G26</f>
        <v>0</v>
      </c>
      <c r="X32" s="66" t="n">
        <f aca="false">'Construction Investment'!H26</f>
        <v>2430</v>
      </c>
      <c r="Y32" s="61" t="n">
        <f aca="false">(X32+W32-U32-V32)/(1+$B$22/100)^A32</f>
        <v>-658.93552188928</v>
      </c>
      <c r="Z32" s="68"/>
      <c r="AA32" s="67" t="n">
        <f aca="false">S32-Y32</f>
        <v>-125497.876105984</v>
      </c>
    </row>
    <row r="33" customFormat="false" ht="14.05" hidden="false" customHeight="false" outlineLevel="0" collapsed="false">
      <c r="A33" s="55" t="n">
        <v>7</v>
      </c>
      <c r="B33" s="56" t="str">
        <f aca="false">IF($B$19=2020, "Starting year --&gt;","" )</f>
        <v/>
      </c>
      <c r="C33" s="57" t="n">
        <v>2020</v>
      </c>
      <c r="D33" s="58" t="n">
        <f aca="false">Time!N33</f>
        <v>749329.193455076</v>
      </c>
      <c r="E33" s="59" t="n">
        <f aca="false">'Op cost New Public Vehicles'!J22+'Op cost NO New Vehicles'!E21+'Op cost New Public Vehicles'!D48</f>
        <v>870183.68927037</v>
      </c>
      <c r="F33" s="58" t="n">
        <f aca="false">'Pollutants Public Transport'!F23+'Pollutants New Vehicles'!I36+'Pollutants Private Cars'!E20</f>
        <v>8872.72727275567</v>
      </c>
      <c r="G33" s="60" t="n">
        <f aca="false">Noise!E17</f>
        <v>0</v>
      </c>
      <c r="H33" s="58" t="n">
        <f aca="false">Safety!D21</f>
        <v>364415.584416751</v>
      </c>
      <c r="I33" s="61" t="n">
        <f aca="false">(SUM(D33:H33)/(1+$B$22/100)^A33)</f>
        <v>1566323.72525007</v>
      </c>
      <c r="J33" s="68"/>
      <c r="K33" s="63" t="n">
        <f aca="false">C33</f>
        <v>2020</v>
      </c>
      <c r="L33" s="58" t="n">
        <f aca="false">Time!AB33</f>
        <v>875792.057558789</v>
      </c>
      <c r="M33" s="59" t="n">
        <f aca="false">'Op cost NO New Vehicles'!J21+'Op cost New Public Vehicles'!T22+'Op cost New Public Vehicles'!I48</f>
        <v>1078789.36820505</v>
      </c>
      <c r="N33" s="60" t="n">
        <f aca="false">+'Pollutants New Vehicles'!R36+'Pollutants Public Transport'!L23+'Pollutants Private Cars'!J20</f>
        <v>11090.9090909446</v>
      </c>
      <c r="O33" s="60" t="n">
        <f aca="false">Noise!J17</f>
        <v>0</v>
      </c>
      <c r="P33" s="58" t="n">
        <f aca="false">Safety!H21</f>
        <v>182207.792208375</v>
      </c>
      <c r="Q33" s="61" t="n">
        <f aca="false">SUM(L33:P33)/(1+$B$22/100)^A33</f>
        <v>1688214.36450405</v>
      </c>
      <c r="R33" s="68"/>
      <c r="S33" s="64" t="n">
        <f aca="false">I33-Q33</f>
        <v>-121890.639253984</v>
      </c>
      <c r="T33" s="68"/>
      <c r="U33" s="65" t="n">
        <f aca="false">'Construction Investment'!C27</f>
        <v>0</v>
      </c>
      <c r="V33" s="65" t="n">
        <f aca="false">'Construction Investment'!D27</f>
        <v>3240</v>
      </c>
      <c r="W33" s="66" t="n">
        <f aca="false">'Construction Investment'!G27</f>
        <v>0</v>
      </c>
      <c r="X33" s="66" t="n">
        <f aca="false">'Construction Investment'!H27</f>
        <v>2430</v>
      </c>
      <c r="Y33" s="61" t="n">
        <f aca="false">(X33+W33-U33-V33)/(1+$B$22/100)^A33</f>
        <v>-636.652678153894</v>
      </c>
      <c r="Z33" s="68"/>
      <c r="AA33" s="67" t="n">
        <f aca="false">S33-Y33</f>
        <v>-121253.98657583</v>
      </c>
    </row>
    <row r="34" customFormat="false" ht="14.05" hidden="false" customHeight="false" outlineLevel="0" collapsed="false">
      <c r="A34" s="55" t="n">
        <v>8</v>
      </c>
      <c r="B34" s="56" t="str">
        <f aca="false">IF($B$19=2021, "Starting year --&gt;","" )</f>
        <v/>
      </c>
      <c r="C34" s="57" t="n">
        <v>2021</v>
      </c>
      <c r="D34" s="58" t="n">
        <f aca="false">Time!N34</f>
        <v>749329.193455076</v>
      </c>
      <c r="E34" s="59" t="n">
        <f aca="false">'Op cost New Public Vehicles'!J23+'Op cost NO New Vehicles'!E22+'Op cost New Public Vehicles'!D49</f>
        <v>870183.68927037</v>
      </c>
      <c r="F34" s="58" t="n">
        <f aca="false">'Pollutants Public Transport'!F24+'Pollutants New Vehicles'!I37+'Pollutants Private Cars'!E21</f>
        <v>8872.72727275567</v>
      </c>
      <c r="G34" s="60" t="n">
        <f aca="false">Noise!E18</f>
        <v>0</v>
      </c>
      <c r="H34" s="58" t="n">
        <f aca="false">Safety!D22</f>
        <v>364415.584416751</v>
      </c>
      <c r="I34" s="61" t="n">
        <f aca="false">(SUM(D34:H34)/(1+$B$22/100)^A34)</f>
        <v>1513356.25628026</v>
      </c>
      <c r="J34" s="68"/>
      <c r="K34" s="63" t="n">
        <f aca="false">C34</f>
        <v>2021</v>
      </c>
      <c r="L34" s="58" t="n">
        <f aca="false">Time!AB34</f>
        <v>875792.057558789</v>
      </c>
      <c r="M34" s="59" t="n">
        <f aca="false">'Op cost NO New Vehicles'!J22+'Op cost New Public Vehicles'!T23+'Op cost New Public Vehicles'!I49</f>
        <v>1078789.36820505</v>
      </c>
      <c r="N34" s="60" t="n">
        <f aca="false">+'Pollutants New Vehicles'!R37+'Pollutants Public Transport'!L24+'Pollutants Private Cars'!J21</f>
        <v>11090.9090909446</v>
      </c>
      <c r="O34" s="60" t="n">
        <f aca="false">Noise!J18</f>
        <v>0</v>
      </c>
      <c r="P34" s="58" t="n">
        <f aca="false">Safety!H22</f>
        <v>182207.792208375</v>
      </c>
      <c r="Q34" s="61" t="n">
        <f aca="false">SUM(L34:P34)/(1+$B$22/100)^A34</f>
        <v>1631124.98985899</v>
      </c>
      <c r="R34" s="68"/>
      <c r="S34" s="64" t="n">
        <f aca="false">I34-Q34</f>
        <v>-117768.733578728</v>
      </c>
      <c r="T34" s="68"/>
      <c r="U34" s="65" t="n">
        <f aca="false">'Construction Investment'!C28</f>
        <v>0</v>
      </c>
      <c r="V34" s="65" t="n">
        <f aca="false">'Construction Investment'!D28</f>
        <v>3240</v>
      </c>
      <c r="W34" s="66" t="n">
        <f aca="false">'Construction Investment'!G28</f>
        <v>0</v>
      </c>
      <c r="X34" s="66" t="n">
        <f aca="false">'Construction Investment'!H28</f>
        <v>2430</v>
      </c>
      <c r="Y34" s="61" t="n">
        <f aca="false">(X34+W34-U34-V34)/(1+$B$22/100)^A34</f>
        <v>-615.123360535163</v>
      </c>
      <c r="Z34" s="68"/>
      <c r="AA34" s="67" t="n">
        <f aca="false">S34-Y34</f>
        <v>-117153.610218193</v>
      </c>
    </row>
    <row r="35" customFormat="false" ht="14.05" hidden="false" customHeight="false" outlineLevel="0" collapsed="false">
      <c r="A35" s="55" t="n">
        <v>9</v>
      </c>
      <c r="B35" s="56" t="str">
        <f aca="false">IF($B$19=2022, "Starting year --&gt;","" )</f>
        <v/>
      </c>
      <c r="C35" s="57" t="n">
        <v>2022</v>
      </c>
      <c r="D35" s="58" t="n">
        <f aca="false">Time!N35</f>
        <v>749329.193455076</v>
      </c>
      <c r="E35" s="59" t="n">
        <f aca="false">'Op cost New Public Vehicles'!J24+'Op cost NO New Vehicles'!E23+'Op cost New Public Vehicles'!D50</f>
        <v>870183.68927037</v>
      </c>
      <c r="F35" s="58" t="n">
        <f aca="false">'Pollutants Public Transport'!F25+'Pollutants New Vehicles'!I38+'Pollutants Private Cars'!E22</f>
        <v>8872.72727275567</v>
      </c>
      <c r="G35" s="60" t="n">
        <f aca="false">Noise!E19</f>
        <v>0</v>
      </c>
      <c r="H35" s="58" t="n">
        <f aca="false">Safety!D23</f>
        <v>364415.584416751</v>
      </c>
      <c r="I35" s="61" t="n">
        <f aca="false">(SUM(D35:H35)/(1+$B$22/100)^A35)</f>
        <v>1462179.95775871</v>
      </c>
      <c r="J35" s="68"/>
      <c r="K35" s="63" t="n">
        <f aca="false">C35</f>
        <v>2022</v>
      </c>
      <c r="L35" s="58" t="n">
        <f aca="false">Time!AB35</f>
        <v>875792.057558789</v>
      </c>
      <c r="M35" s="59" t="n">
        <f aca="false">'Op cost NO New Vehicles'!J23+'Op cost New Public Vehicles'!T24+'Op cost New Public Vehicles'!I50</f>
        <v>1078789.36820505</v>
      </c>
      <c r="N35" s="60" t="n">
        <f aca="false">+'Pollutants New Vehicles'!R38+'Pollutants Public Transport'!L25+'Pollutants Private Cars'!J22</f>
        <v>11090.9090909446</v>
      </c>
      <c r="O35" s="60" t="n">
        <f aca="false">Noise!J19</f>
        <v>0</v>
      </c>
      <c r="P35" s="58" t="n">
        <f aca="false">Safety!H23</f>
        <v>182207.792208375</v>
      </c>
      <c r="Q35" s="61" t="n">
        <f aca="false">SUM(L35:P35)/(1+$B$22/100)^A35</f>
        <v>1575966.1737768</v>
      </c>
      <c r="R35" s="68"/>
      <c r="S35" s="64" t="n">
        <f aca="false">I35-Q35</f>
        <v>-113786.216018095</v>
      </c>
      <c r="T35" s="68"/>
      <c r="U35" s="65" t="n">
        <f aca="false">'Construction Investment'!C29</f>
        <v>0</v>
      </c>
      <c r="V35" s="65" t="n">
        <f aca="false">'Construction Investment'!D29</f>
        <v>3240</v>
      </c>
      <c r="W35" s="66" t="n">
        <f aca="false">'Construction Investment'!G29</f>
        <v>0</v>
      </c>
      <c r="X35" s="66" t="n">
        <f aca="false">'Construction Investment'!H29</f>
        <v>2430</v>
      </c>
      <c r="Y35" s="61" t="n">
        <f aca="false">(X35+W35-U35-V35)/(1+$B$22/100)^A35</f>
        <v>-594.322087473587</v>
      </c>
      <c r="Z35" s="68"/>
      <c r="AA35" s="67" t="n">
        <f aca="false">S35-Y35</f>
        <v>-113191.893930621</v>
      </c>
    </row>
    <row r="36" customFormat="false" ht="14.05" hidden="false" customHeight="false" outlineLevel="0" collapsed="false">
      <c r="A36" s="55" t="n">
        <v>10</v>
      </c>
      <c r="B36" s="56" t="str">
        <f aca="false">IF($B$19=2023, "Starting year --&gt;","" )</f>
        <v/>
      </c>
      <c r="C36" s="57" t="n">
        <v>2023</v>
      </c>
      <c r="D36" s="58" t="n">
        <f aca="false">Time!N36</f>
        <v>749329.193455076</v>
      </c>
      <c r="E36" s="59" t="n">
        <f aca="false">'Op cost New Public Vehicles'!J25+'Op cost NO New Vehicles'!E24+'Op cost New Public Vehicles'!D51</f>
        <v>870183.68927037</v>
      </c>
      <c r="F36" s="58" t="n">
        <f aca="false">'Pollutants Public Transport'!F26+'Pollutants New Vehicles'!I39+'Pollutants Private Cars'!E23</f>
        <v>8872.72727275567</v>
      </c>
      <c r="G36" s="60" t="n">
        <f aca="false">Noise!E20</f>
        <v>0</v>
      </c>
      <c r="H36" s="58" t="n">
        <f aca="false">Safety!D24</f>
        <v>364415.584416751</v>
      </c>
      <c r="I36" s="61" t="n">
        <f aca="false">(SUM(D36:H36)/(1+$B$22/100)^A36)</f>
        <v>1412734.25870407</v>
      </c>
      <c r="J36" s="68"/>
      <c r="K36" s="63" t="n">
        <f aca="false">C36</f>
        <v>2023</v>
      </c>
      <c r="L36" s="58" t="n">
        <f aca="false">Time!AB36</f>
        <v>875792.057558789</v>
      </c>
      <c r="M36" s="59" t="n">
        <f aca="false">'Op cost NO New Vehicles'!J24+'Op cost New Public Vehicles'!T25+'Op cost New Public Vehicles'!I51</f>
        <v>1078789.36820505</v>
      </c>
      <c r="N36" s="60" t="n">
        <f aca="false">+'Pollutants New Vehicles'!R39+'Pollutants Public Transport'!L26+'Pollutants Private Cars'!J23</f>
        <v>11090.9090909446</v>
      </c>
      <c r="O36" s="60" t="n">
        <f aca="false">Noise!J20</f>
        <v>0</v>
      </c>
      <c r="P36" s="58" t="n">
        <f aca="false">Safety!H24</f>
        <v>182207.792208375</v>
      </c>
      <c r="Q36" s="61" t="n">
        <f aca="false">SUM(L36:P36)/(1+$B$22/100)^A36</f>
        <v>1522672.63166841</v>
      </c>
      <c r="R36" s="68"/>
      <c r="S36" s="64" t="n">
        <f aca="false">I36-Q36</f>
        <v>-109938.372964343</v>
      </c>
      <c r="T36" s="68"/>
      <c r="U36" s="65" t="n">
        <f aca="false">'Construction Investment'!C30</f>
        <v>0</v>
      </c>
      <c r="V36" s="65" t="n">
        <f aca="false">'Construction Investment'!D30</f>
        <v>3240</v>
      </c>
      <c r="W36" s="66" t="n">
        <f aca="false">'Construction Investment'!G30</f>
        <v>0</v>
      </c>
      <c r="X36" s="66" t="n">
        <f aca="false">'Construction Investment'!H30</f>
        <v>2430</v>
      </c>
      <c r="Y36" s="61" t="n">
        <f aca="false">(X36+W36-U36-V36)/(1+$B$22/100)^A36</f>
        <v>-574.224239104916</v>
      </c>
      <c r="Z36" s="68"/>
      <c r="AA36" s="67" t="n">
        <f aca="false">S36-Y36</f>
        <v>-109364.148725238</v>
      </c>
    </row>
    <row r="37" customFormat="false" ht="14.05" hidden="false" customHeight="false" outlineLevel="0" collapsed="false">
      <c r="A37" s="55" t="n">
        <v>11</v>
      </c>
      <c r="B37" s="56" t="str">
        <f aca="false">IF($B$19=2024, "Starting year --&gt;","" )</f>
        <v/>
      </c>
      <c r="C37" s="57" t="n">
        <v>2024</v>
      </c>
      <c r="D37" s="58" t="n">
        <f aca="false">Time!N37</f>
        <v>749329.193455076</v>
      </c>
      <c r="E37" s="59" t="n">
        <f aca="false">'Op cost New Public Vehicles'!J26+'Op cost NO New Vehicles'!E25+'Op cost New Public Vehicles'!D52</f>
        <v>870183.68927037</v>
      </c>
      <c r="F37" s="58" t="n">
        <f aca="false">'Pollutants Public Transport'!F27+'Pollutants New Vehicles'!I40+'Pollutants Private Cars'!E24</f>
        <v>8872.72727275567</v>
      </c>
      <c r="G37" s="60" t="n">
        <f aca="false">Noise!E21</f>
        <v>0</v>
      </c>
      <c r="H37" s="58" t="n">
        <f aca="false">Safety!D25</f>
        <v>364415.584416751</v>
      </c>
      <c r="I37" s="61" t="n">
        <f aca="false">(SUM(D37:H37)/(1+$B$22/100)^A37)</f>
        <v>1364960.63642905</v>
      </c>
      <c r="J37" s="68"/>
      <c r="K37" s="63" t="n">
        <f aca="false">C37</f>
        <v>2024</v>
      </c>
      <c r="L37" s="58" t="n">
        <f aca="false">Time!AB37</f>
        <v>875792.057558789</v>
      </c>
      <c r="M37" s="59" t="n">
        <f aca="false">'Op cost NO New Vehicles'!J25+'Op cost New Public Vehicles'!T26+'Op cost New Public Vehicles'!I52</f>
        <v>1078789.36820505</v>
      </c>
      <c r="N37" s="60" t="n">
        <f aca="false">+'Pollutants New Vehicles'!R40+'Pollutants Public Transport'!L27+'Pollutants Private Cars'!J24</f>
        <v>11090.9090909446</v>
      </c>
      <c r="O37" s="60" t="n">
        <f aca="false">Noise!J21</f>
        <v>0</v>
      </c>
      <c r="P37" s="58" t="n">
        <f aca="false">Safety!H25</f>
        <v>182207.792208375</v>
      </c>
      <c r="Q37" s="61" t="n">
        <f aca="false">SUM(L37:P37)/(1+$B$22/100)^A37</f>
        <v>1471181.28663614</v>
      </c>
      <c r="R37" s="68"/>
      <c r="S37" s="64" t="n">
        <f aca="false">I37-Q37</f>
        <v>-106220.650207095</v>
      </c>
      <c r="T37" s="68"/>
      <c r="U37" s="65" t="n">
        <f aca="false">'Construction Investment'!C31</f>
        <v>0</v>
      </c>
      <c r="V37" s="65" t="n">
        <f aca="false">'Construction Investment'!D31</f>
        <v>3240</v>
      </c>
      <c r="W37" s="66" t="n">
        <f aca="false">'Construction Investment'!G31</f>
        <v>0</v>
      </c>
      <c r="X37" s="66" t="n">
        <f aca="false">'Construction Investment'!H31</f>
        <v>2430</v>
      </c>
      <c r="Y37" s="61" t="n">
        <f aca="false">(X37+W37-U37-V37)/(1+$B$22/100)^A37</f>
        <v>-554.806028120691</v>
      </c>
      <c r="Z37" s="68"/>
      <c r="AA37" s="67" t="n">
        <f aca="false">S37-Y37</f>
        <v>-105665.844178974</v>
      </c>
    </row>
    <row r="38" customFormat="false" ht="14.05" hidden="false" customHeight="false" outlineLevel="0" collapsed="false">
      <c r="A38" s="55" t="n">
        <v>12</v>
      </c>
      <c r="B38" s="56" t="str">
        <f aca="false">IF($B$19=2025, "Starting year --&gt;","" )</f>
        <v/>
      </c>
      <c r="C38" s="57" t="n">
        <v>2025</v>
      </c>
      <c r="D38" s="58" t="n">
        <f aca="false">Time!N38</f>
        <v>749329.193455076</v>
      </c>
      <c r="E38" s="59" t="n">
        <f aca="false">'Op cost New Public Vehicles'!J27+'Op cost NO New Vehicles'!E26+'Op cost New Public Vehicles'!D53</f>
        <v>870183.68927037</v>
      </c>
      <c r="F38" s="58" t="n">
        <f aca="false">'Pollutants Public Transport'!F28+'Pollutants New Vehicles'!I41+'Pollutants Private Cars'!E25</f>
        <v>8872.72727275567</v>
      </c>
      <c r="G38" s="60" t="n">
        <f aca="false">Noise!E22</f>
        <v>0</v>
      </c>
      <c r="H38" s="58" t="n">
        <f aca="false">Safety!D26</f>
        <v>364415.584416751</v>
      </c>
      <c r="I38" s="61" t="n">
        <f aca="false">(SUM(D38:H38)/(1+$B$22/100)^A38)</f>
        <v>1318802.54727444</v>
      </c>
      <c r="J38" s="68"/>
      <c r="K38" s="63" t="n">
        <f aca="false">C38</f>
        <v>2025</v>
      </c>
      <c r="L38" s="58" t="n">
        <f aca="false">Time!AB38</f>
        <v>875792.057558789</v>
      </c>
      <c r="M38" s="59" t="n">
        <f aca="false">'Op cost NO New Vehicles'!J26+'Op cost New Public Vehicles'!T27+'Op cost New Public Vehicles'!I53</f>
        <v>1078789.36820505</v>
      </c>
      <c r="N38" s="60" t="n">
        <f aca="false">+'Pollutants New Vehicles'!R41+'Pollutants Public Transport'!L28+'Pollutants Private Cars'!J25</f>
        <v>11090.9090909446</v>
      </c>
      <c r="O38" s="60" t="n">
        <f aca="false">Noise!J22</f>
        <v>0</v>
      </c>
      <c r="P38" s="58" t="n">
        <f aca="false">Safety!H26</f>
        <v>182207.792208375</v>
      </c>
      <c r="Q38" s="61" t="n">
        <f aca="false">SUM(L38:P38)/(1+$B$22/100)^A38</f>
        <v>1421431.19481753</v>
      </c>
      <c r="R38" s="68"/>
      <c r="S38" s="64" t="n">
        <f aca="false">I38-Q38</f>
        <v>-102628.647543087</v>
      </c>
      <c r="T38" s="68"/>
      <c r="U38" s="65" t="n">
        <f aca="false">'Construction Investment'!C32</f>
        <v>0</v>
      </c>
      <c r="V38" s="65" t="n">
        <f aca="false">'Construction Investment'!D32</f>
        <v>3240</v>
      </c>
      <c r="W38" s="66" t="n">
        <f aca="false">'Construction Investment'!G32</f>
        <v>0</v>
      </c>
      <c r="X38" s="66" t="n">
        <f aca="false">'Construction Investment'!H32</f>
        <v>2430</v>
      </c>
      <c r="Y38" s="61" t="n">
        <f aca="false">(X38+W38-U38-V38)/(1+$B$22/100)^A38</f>
        <v>-536.044471614194</v>
      </c>
      <c r="Z38" s="68"/>
      <c r="AA38" s="67" t="n">
        <f aca="false">S38-Y38</f>
        <v>-102092.603071472</v>
      </c>
    </row>
    <row r="39" customFormat="false" ht="14.05" hidden="false" customHeight="false" outlineLevel="0" collapsed="false">
      <c r="A39" s="55" t="n">
        <v>13</v>
      </c>
      <c r="B39" s="56" t="str">
        <f aca="false">IF($B$19=2026, "Starting year --&gt;","" )</f>
        <v/>
      </c>
      <c r="C39" s="57" t="n">
        <v>2026</v>
      </c>
      <c r="D39" s="58" t="n">
        <f aca="false">Time!N39</f>
        <v>749329.193455076</v>
      </c>
      <c r="E39" s="59" t="n">
        <f aca="false">'Op cost New Public Vehicles'!J28+'Op cost NO New Vehicles'!E27+'Op cost New Public Vehicles'!D54</f>
        <v>870183.68927037</v>
      </c>
      <c r="F39" s="58" t="n">
        <f aca="false">'Pollutants Public Transport'!F29+'Pollutants New Vehicles'!I42+'Pollutants Private Cars'!E26</f>
        <v>8872.72727275567</v>
      </c>
      <c r="G39" s="60" t="n">
        <f aca="false">Noise!E23</f>
        <v>0</v>
      </c>
      <c r="H39" s="58" t="n">
        <f aca="false">Safety!D27</f>
        <v>364415.584416751</v>
      </c>
      <c r="I39" s="61" t="n">
        <f aca="false">(SUM(D39:H39)/(1+$B$22/100)^A39)</f>
        <v>1274205.35968545</v>
      </c>
      <c r="J39" s="68"/>
      <c r="K39" s="63" t="n">
        <f aca="false">C39</f>
        <v>2026</v>
      </c>
      <c r="L39" s="58" t="n">
        <f aca="false">Time!AB39</f>
        <v>875792.057558789</v>
      </c>
      <c r="M39" s="59" t="n">
        <f aca="false">'Op cost NO New Vehicles'!J27+'Op cost New Public Vehicles'!T28+'Op cost New Public Vehicles'!I54</f>
        <v>1078789.36820505</v>
      </c>
      <c r="N39" s="60" t="n">
        <f aca="false">+'Pollutants New Vehicles'!R42+'Pollutants Public Transport'!L29+'Pollutants Private Cars'!J26</f>
        <v>11090.9090909446</v>
      </c>
      <c r="O39" s="60" t="n">
        <f aca="false">Noise!J23</f>
        <v>0</v>
      </c>
      <c r="P39" s="58" t="n">
        <f aca="false">Safety!H27</f>
        <v>182207.792208375</v>
      </c>
      <c r="Q39" s="61" t="n">
        <f aca="false">SUM(L39:P39)/(1+$B$22/100)^A39</f>
        <v>1373363.47325365</v>
      </c>
      <c r="R39" s="68"/>
      <c r="S39" s="64" t="n">
        <f aca="false">I39-Q39</f>
        <v>-99158.1135681996</v>
      </c>
      <c r="T39" s="68"/>
      <c r="U39" s="65" t="n">
        <f aca="false">'Construction Investment'!C33</f>
        <v>0</v>
      </c>
      <c r="V39" s="65" t="n">
        <f aca="false">'Construction Investment'!D33</f>
        <v>3240</v>
      </c>
      <c r="W39" s="66" t="n">
        <f aca="false">'Construction Investment'!G33</f>
        <v>0</v>
      </c>
      <c r="X39" s="66" t="n">
        <f aca="false">'Construction Investment'!H33</f>
        <v>2430</v>
      </c>
      <c r="Y39" s="61" t="n">
        <f aca="false">(X39+W39-U39-V39)/(1+$B$22/100)^A39</f>
        <v>-517.917363878449</v>
      </c>
      <c r="Z39" s="68"/>
      <c r="AA39" s="67" t="n">
        <f aca="false">S39-Y39</f>
        <v>-98640.1962043211</v>
      </c>
    </row>
    <row r="40" customFormat="false" ht="14.05" hidden="false" customHeight="false" outlineLevel="0" collapsed="false">
      <c r="A40" s="55" t="n">
        <v>14</v>
      </c>
      <c r="B40" s="56" t="str">
        <f aca="false">IF($B$20=2027, "Finishing year --&gt;","" )</f>
        <v/>
      </c>
      <c r="C40" s="57" t="n">
        <v>2027</v>
      </c>
      <c r="D40" s="58" t="n">
        <f aca="false">Time!N40</f>
        <v>749329.193455076</v>
      </c>
      <c r="E40" s="59" t="n">
        <f aca="false">'Op cost New Public Vehicles'!J29+'Op cost NO New Vehicles'!E28+'Op cost New Public Vehicles'!D55</f>
        <v>870183.68927037</v>
      </c>
      <c r="F40" s="58" t="n">
        <f aca="false">'Pollutants Public Transport'!F30+'Pollutants New Vehicles'!I43+'Pollutants Private Cars'!E27</f>
        <v>8872.72727275567</v>
      </c>
      <c r="G40" s="60" t="n">
        <f aca="false">Noise!E24</f>
        <v>0</v>
      </c>
      <c r="H40" s="58" t="n">
        <f aca="false">Safety!D28</f>
        <v>364415.584416751</v>
      </c>
      <c r="I40" s="61" t="n">
        <f aca="false">(SUM(D40:H40)/(1+$B$22/100)^A40)</f>
        <v>1231116.28955116</v>
      </c>
      <c r="J40" s="68"/>
      <c r="K40" s="63" t="n">
        <f aca="false">C40</f>
        <v>2027</v>
      </c>
      <c r="L40" s="58" t="n">
        <f aca="false">Time!AB40</f>
        <v>875792.057558789</v>
      </c>
      <c r="M40" s="59" t="n">
        <f aca="false">'Op cost NO New Vehicles'!J28+'Op cost New Public Vehicles'!T29+'Op cost New Public Vehicles'!I55</f>
        <v>1078789.36820505</v>
      </c>
      <c r="N40" s="60" t="n">
        <f aca="false">+'Pollutants New Vehicles'!R43+'Pollutants Public Transport'!L30+'Pollutants Private Cars'!J27</f>
        <v>11090.9090909446</v>
      </c>
      <c r="O40" s="60" t="n">
        <f aca="false">Noise!J24</f>
        <v>0</v>
      </c>
      <c r="P40" s="58" t="n">
        <f aca="false">Safety!H28</f>
        <v>182207.792208375</v>
      </c>
      <c r="Q40" s="61" t="n">
        <f aca="false">SUM(L40:P40)/(1+$B$22/100)^A40</f>
        <v>1326921.23019677</v>
      </c>
      <c r="R40" s="68"/>
      <c r="S40" s="64" t="n">
        <f aca="false">I40-Q40</f>
        <v>-95804.9406456035</v>
      </c>
      <c r="T40" s="68"/>
      <c r="U40" s="65" t="n">
        <f aca="false">'Construction Investment'!C34</f>
        <v>0</v>
      </c>
      <c r="V40" s="65" t="n">
        <f aca="false">'Construction Investment'!D34</f>
        <v>3240</v>
      </c>
      <c r="W40" s="66" t="n">
        <f aca="false">'Construction Investment'!G34</f>
        <v>0</v>
      </c>
      <c r="X40" s="66" t="n">
        <f aca="false">'Construction Investment'!H34</f>
        <v>2430</v>
      </c>
      <c r="Y40" s="61" t="n">
        <f aca="false">(X40+W40-U40-V40)/(1+$B$22/100)^A40</f>
        <v>-500.403250124105</v>
      </c>
      <c r="Z40" s="68"/>
      <c r="AA40" s="67" t="n">
        <f aca="false">S40-Y40</f>
        <v>-95304.5373954794</v>
      </c>
    </row>
    <row r="41" customFormat="false" ht="14.05" hidden="false" customHeight="false" outlineLevel="0" collapsed="false">
      <c r="A41" s="55" t="n">
        <v>15</v>
      </c>
      <c r="B41" s="56" t="str">
        <f aca="false">IF($B$20=2028, "Finishing year --&gt;","" )</f>
        <v>Finishing year --&gt;</v>
      </c>
      <c r="C41" s="57" t="n">
        <v>2028</v>
      </c>
      <c r="D41" s="58" t="n">
        <f aca="false">Time!N41</f>
        <v>749329.193455076</v>
      </c>
      <c r="E41" s="59" t="n">
        <f aca="false">'Op cost New Public Vehicles'!J30+'Op cost NO New Vehicles'!E29+'Op cost New Public Vehicles'!D56</f>
        <v>870183.68927037</v>
      </c>
      <c r="F41" s="58" t="n">
        <f aca="false">'Pollutants Public Transport'!F31+'Pollutants New Vehicles'!I44+'Pollutants Private Cars'!E28</f>
        <v>8872.72727275567</v>
      </c>
      <c r="G41" s="60" t="n">
        <f aca="false">Noise!E25</f>
        <v>0</v>
      </c>
      <c r="H41" s="58" t="n">
        <f aca="false">Safety!D29</f>
        <v>364415.584416751</v>
      </c>
      <c r="I41" s="61" t="n">
        <f aca="false">(SUM(D41:H41)/(1+$B$22/100)^A41)</f>
        <v>1189484.33773059</v>
      </c>
      <c r="J41" s="68"/>
      <c r="K41" s="63" t="n">
        <f aca="false">C41</f>
        <v>2028</v>
      </c>
      <c r="L41" s="58" t="n">
        <f aca="false">Time!AB41</f>
        <v>875792.057558789</v>
      </c>
      <c r="M41" s="59" t="n">
        <f aca="false">'Op cost NO New Vehicles'!J29+'Op cost New Public Vehicles'!T30+'Op cost New Public Vehicles'!I56</f>
        <v>1078789.36820505</v>
      </c>
      <c r="N41" s="60" t="n">
        <f aca="false">+'Pollutants New Vehicles'!R44+'Pollutants Public Transport'!L31+'Pollutants Private Cars'!J28</f>
        <v>11090.9090909446</v>
      </c>
      <c r="O41" s="60" t="n">
        <f aca="false">Noise!J25</f>
        <v>0</v>
      </c>
      <c r="P41" s="58" t="n">
        <f aca="false">Safety!H29</f>
        <v>182207.792208375</v>
      </c>
      <c r="Q41" s="61" t="n">
        <f aca="false">SUM(L41:P41)/(1+$B$22/100)^A41</f>
        <v>1282049.49777465</v>
      </c>
      <c r="R41" s="68"/>
      <c r="S41" s="64" t="n">
        <f aca="false">I41-Q41</f>
        <v>-92565.1600440615</v>
      </c>
      <c r="T41" s="68"/>
      <c r="U41" s="65" t="n">
        <f aca="false">'Construction Investment'!C35</f>
        <v>0</v>
      </c>
      <c r="V41" s="65" t="n">
        <f aca="false">'Construction Investment'!D35</f>
        <v>3240</v>
      </c>
      <c r="W41" s="66" t="n">
        <f aca="false">'Construction Investment'!G35</f>
        <v>0</v>
      </c>
      <c r="X41" s="66" t="n">
        <f aca="false">'Construction Investment'!H35</f>
        <v>2430</v>
      </c>
      <c r="Y41" s="61" t="n">
        <f aca="false">(X41+W41-U41-V41)/(1+$B$22/100)^A41</f>
        <v>-483.481401086092</v>
      </c>
      <c r="Z41" s="68"/>
      <c r="AA41" s="67" t="n">
        <f aca="false">S41-Y41</f>
        <v>-92081.6786429754</v>
      </c>
    </row>
    <row r="42" customFormat="false" ht="14.05" hidden="false" customHeight="false" outlineLevel="0" collapsed="false">
      <c r="A42" s="55" t="n">
        <v>16</v>
      </c>
      <c r="B42" s="56" t="str">
        <f aca="false">IF($B$20=2029, "Finishing year --&gt;","" )</f>
        <v/>
      </c>
      <c r="C42" s="57" t="n">
        <v>2029</v>
      </c>
      <c r="D42" s="58" t="n">
        <f aca="false">Time!N42</f>
        <v>0</v>
      </c>
      <c r="E42" s="59" t="n">
        <f aca="false">'Op cost New Public Vehicles'!J31+'Op cost NO New Vehicles'!E30+'Op cost New Public Vehicles'!D57</f>
        <v>0</v>
      </c>
      <c r="F42" s="58" t="n">
        <f aca="false">'Pollutants Public Transport'!F32+'Pollutants New Vehicles'!I45+'Pollutants Private Cars'!E29</f>
        <v>0</v>
      </c>
      <c r="G42" s="60" t="n">
        <f aca="false">Noise!E26</f>
        <v>0</v>
      </c>
      <c r="H42" s="58" t="n">
        <f aca="false">Safety!D30</f>
        <v>0</v>
      </c>
      <c r="I42" s="61" t="n">
        <f aca="false">(SUM(D42:H42)/(1+$B$22/100)^A42)</f>
        <v>0</v>
      </c>
      <c r="J42" s="68"/>
      <c r="K42" s="63" t="n">
        <f aca="false">C42</f>
        <v>2029</v>
      </c>
      <c r="L42" s="58" t="n">
        <f aca="false">Time!AB42</f>
        <v>0</v>
      </c>
      <c r="M42" s="59" t="n">
        <f aca="false">'Op cost NO New Vehicles'!J30+'Op cost New Public Vehicles'!T31+'Op cost New Public Vehicles'!I57</f>
        <v>0</v>
      </c>
      <c r="N42" s="60" t="n">
        <f aca="false">+'Pollutants New Vehicles'!R45+'Pollutants Public Transport'!L32+'Pollutants Private Cars'!J29</f>
        <v>0</v>
      </c>
      <c r="O42" s="60" t="n">
        <f aca="false">Noise!J26</f>
        <v>0</v>
      </c>
      <c r="P42" s="58" t="n">
        <f aca="false">Safety!H30</f>
        <v>0</v>
      </c>
      <c r="Q42" s="61" t="n">
        <f aca="false">SUM(L42:P42)/(1+$B$22/100)^A42</f>
        <v>0</v>
      </c>
      <c r="R42" s="68"/>
      <c r="S42" s="64" t="n">
        <f aca="false">I42-Q42</f>
        <v>0</v>
      </c>
      <c r="T42" s="68"/>
      <c r="U42" s="65" t="n">
        <f aca="false">'Construction Investment'!C36</f>
        <v>0</v>
      </c>
      <c r="V42" s="65" t="n">
        <f aca="false">'Construction Investment'!D36</f>
        <v>0</v>
      </c>
      <c r="W42" s="66" t="n">
        <f aca="false">'Construction Investment'!G36</f>
        <v>0</v>
      </c>
      <c r="X42" s="66" t="n">
        <f aca="false">'Construction Investment'!H36</f>
        <v>0</v>
      </c>
      <c r="Y42" s="61" t="n">
        <f aca="false">(X42+W42-U42-V42)/(1+$B$22/100)^A42</f>
        <v>0</v>
      </c>
      <c r="Z42" s="68"/>
      <c r="AA42" s="67" t="n">
        <f aca="false">S42-Y42</f>
        <v>0</v>
      </c>
    </row>
    <row r="43" customFormat="false" ht="14.05" hidden="false" customHeight="false" outlineLevel="0" collapsed="false">
      <c r="A43" s="55" t="n">
        <v>17</v>
      </c>
      <c r="B43" s="56" t="str">
        <f aca="false">IF($B$20=2030, "Finishing year --&gt;","" )</f>
        <v/>
      </c>
      <c r="C43" s="57" t="n">
        <v>2030</v>
      </c>
      <c r="D43" s="58" t="n">
        <f aca="false">Time!N43</f>
        <v>0</v>
      </c>
      <c r="E43" s="59" t="n">
        <f aca="false">'Op cost New Public Vehicles'!J32+'Op cost NO New Vehicles'!E31+'Op cost New Public Vehicles'!D58</f>
        <v>0</v>
      </c>
      <c r="F43" s="58" t="n">
        <f aca="false">'Pollutants Public Transport'!F33+'Pollutants New Vehicles'!I46+'Pollutants Private Cars'!E30</f>
        <v>0</v>
      </c>
      <c r="G43" s="60" t="n">
        <f aca="false">Noise!E27</f>
        <v>0</v>
      </c>
      <c r="H43" s="58" t="n">
        <f aca="false">Safety!D31</f>
        <v>0</v>
      </c>
      <c r="I43" s="61" t="n">
        <f aca="false">(SUM(D43:H43)/(1+$B$22/100)^A43)</f>
        <v>0</v>
      </c>
      <c r="J43" s="68"/>
      <c r="K43" s="63" t="n">
        <f aca="false">C43</f>
        <v>2030</v>
      </c>
      <c r="L43" s="58" t="n">
        <f aca="false">Time!AB43</f>
        <v>0</v>
      </c>
      <c r="M43" s="59" t="n">
        <f aca="false">'Op cost NO New Vehicles'!J31+'Op cost New Public Vehicles'!T32+'Op cost New Public Vehicles'!I58</f>
        <v>0</v>
      </c>
      <c r="N43" s="60" t="n">
        <f aca="false">+'Pollutants New Vehicles'!R46+'Pollutants Public Transport'!L33+'Pollutants Private Cars'!J30</f>
        <v>0</v>
      </c>
      <c r="O43" s="60" t="n">
        <f aca="false">Noise!J27</f>
        <v>0</v>
      </c>
      <c r="P43" s="58" t="n">
        <f aca="false">Safety!H31</f>
        <v>0</v>
      </c>
      <c r="Q43" s="61" t="n">
        <f aca="false">SUM(L43:P43)/(1+$B$22/100)^A43</f>
        <v>0</v>
      </c>
      <c r="R43" s="68"/>
      <c r="S43" s="64" t="n">
        <f aca="false">I43-Q43</f>
        <v>0</v>
      </c>
      <c r="T43" s="68"/>
      <c r="U43" s="65" t="n">
        <f aca="false">'Construction Investment'!C37</f>
        <v>0</v>
      </c>
      <c r="V43" s="65" t="n">
        <f aca="false">'Construction Investment'!D37</f>
        <v>0</v>
      </c>
      <c r="W43" s="66" t="n">
        <f aca="false">'Construction Investment'!G37</f>
        <v>0</v>
      </c>
      <c r="X43" s="66" t="n">
        <f aca="false">'Construction Investment'!H37</f>
        <v>0</v>
      </c>
      <c r="Y43" s="61" t="n">
        <f aca="false">(X43+W43-U43-V43)/(1+$B$22/100)^A43</f>
        <v>0</v>
      </c>
      <c r="Z43" s="68"/>
      <c r="AA43" s="67" t="n">
        <f aca="false">S43-Y43</f>
        <v>0</v>
      </c>
    </row>
    <row r="44" customFormat="false" ht="14.05" hidden="false" customHeight="false" outlineLevel="0" collapsed="false">
      <c r="B44" s="56" t="str">
        <f aca="false">IF($B$20=2031, "Finishing year --&gt;","" )</f>
        <v/>
      </c>
      <c r="C44" s="55"/>
      <c r="D44" s="69"/>
      <c r="E44" s="69"/>
      <c r="F44" s="69"/>
      <c r="G44" s="69"/>
      <c r="H44" s="69"/>
      <c r="I44" s="69"/>
      <c r="J44" s="70"/>
      <c r="K44" s="69"/>
      <c r="L44" s="69"/>
      <c r="M44" s="69"/>
      <c r="N44" s="69"/>
      <c r="O44" s="69"/>
      <c r="P44" s="69"/>
      <c r="Q44" s="71"/>
      <c r="R44" s="72" t="s">
        <v>43</v>
      </c>
      <c r="S44" s="73" t="n">
        <f aca="false">SUM(S26:S43)</f>
        <v>-1786107.78868981</v>
      </c>
      <c r="T44" s="70"/>
      <c r="U44" s="69"/>
      <c r="V44" s="69"/>
      <c r="W44" s="69"/>
      <c r="X44" s="69" t="s">
        <v>44</v>
      </c>
      <c r="Y44" s="73" t="n">
        <f aca="false">+SUM(Y26:Y43)</f>
        <v>306570.897173888</v>
      </c>
      <c r="Z44" s="74"/>
      <c r="AA44" s="73" t="n">
        <f aca="false">+SUM(AA26:AA43)</f>
        <v>-2092678.6858637</v>
      </c>
    </row>
    <row r="45" customFormat="false" ht="14.05" hidden="false" customHeight="false" outlineLevel="0" collapsed="false">
      <c r="A45" s="55"/>
      <c r="B45" s="56" t="str">
        <f aca="false">IF($B$20=2032, "Finishing year --&gt;","" )</f>
        <v/>
      </c>
      <c r="C45" s="55"/>
      <c r="D45" s="55"/>
      <c r="E45" s="55"/>
      <c r="F45" s="55"/>
      <c r="G45" s="55"/>
      <c r="H45" s="55"/>
      <c r="I45" s="55"/>
      <c r="J45" s="55"/>
      <c r="K45" s="55"/>
      <c r="L45" s="75"/>
      <c r="M45" s="76"/>
      <c r="N45" s="76"/>
      <c r="O45" s="76"/>
      <c r="P45" s="55"/>
      <c r="Q45" s="55"/>
      <c r="R45" s="55"/>
      <c r="S45" s="55"/>
      <c r="T45" s="55"/>
      <c r="U45" s="55"/>
      <c r="V45" s="55"/>
      <c r="W45" s="77" t="s">
        <v>45</v>
      </c>
      <c r="X45" s="55"/>
      <c r="Y45" s="55"/>
      <c r="Z45" s="55"/>
    </row>
    <row r="46" customFormat="false" ht="14.05" hidden="false" customHeight="false" outlineLevel="0" collapsed="false">
      <c r="B46" s="56" t="str">
        <f aca="false">IF($B$20=2033, "Finishing year --&gt;","" )</f>
        <v/>
      </c>
      <c r="D46" s="78"/>
      <c r="M46" s="79"/>
      <c r="N46" s="79"/>
      <c r="O46" s="79"/>
      <c r="R46" s="79"/>
      <c r="X46" s="80"/>
    </row>
    <row r="47" customFormat="false" ht="14.05" hidden="false" customHeight="false" outlineLevel="0" collapsed="false">
      <c r="M47" s="79"/>
      <c r="N47" s="79"/>
      <c r="O47" s="79"/>
      <c r="X47" s="80"/>
    </row>
    <row r="48" customFormat="false" ht="14.05" hidden="false" customHeight="false" outlineLevel="0" collapsed="false">
      <c r="M48" s="79"/>
      <c r="N48" s="79"/>
      <c r="O48" s="79"/>
      <c r="X48" s="80"/>
    </row>
    <row r="49" customFormat="false" ht="14.05" hidden="false" customHeight="false" outlineLevel="0" collapsed="false">
      <c r="M49" s="79"/>
      <c r="N49" s="79"/>
      <c r="O49" s="79"/>
      <c r="X49" s="80"/>
    </row>
    <row r="50" customFormat="false" ht="14.05" hidden="false" customHeight="false" outlineLevel="0" collapsed="false">
      <c r="C50" s="79"/>
      <c r="M50" s="79"/>
      <c r="N50" s="79"/>
      <c r="O50" s="79"/>
      <c r="X50" s="80"/>
    </row>
    <row r="51" customFormat="false" ht="14.05" hidden="false" customHeight="false" outlineLevel="0" collapsed="false">
      <c r="C51" s="79"/>
      <c r="M51" s="79"/>
      <c r="N51" s="79"/>
      <c r="O51" s="79"/>
      <c r="X51" s="80"/>
    </row>
    <row r="52" customFormat="false" ht="14.05" hidden="false" customHeight="false" outlineLevel="0" collapsed="false">
      <c r="C52" s="79"/>
      <c r="M52" s="79"/>
      <c r="N52" s="79"/>
      <c r="O52" s="79"/>
      <c r="X52" s="80"/>
    </row>
    <row r="53" customFormat="false" ht="14.05" hidden="false" customHeight="false" outlineLevel="0" collapsed="false">
      <c r="C53" s="79"/>
      <c r="M53" s="79"/>
      <c r="N53" s="79"/>
      <c r="O53" s="79"/>
      <c r="X53" s="80"/>
    </row>
    <row r="54" customFormat="false" ht="14.05" hidden="false" customHeight="false" outlineLevel="0" collapsed="false">
      <c r="C54" s="79"/>
      <c r="M54" s="79"/>
      <c r="N54" s="79"/>
      <c r="O54" s="79"/>
      <c r="X54" s="80"/>
    </row>
    <row r="55" customFormat="false" ht="14.05" hidden="false" customHeight="false" outlineLevel="0" collapsed="false">
      <c r="C55" s="79"/>
      <c r="M55" s="79"/>
      <c r="N55" s="79"/>
      <c r="O55" s="79"/>
      <c r="X55" s="80"/>
    </row>
    <row r="56" customFormat="false" ht="14.05" hidden="false" customHeight="false" outlineLevel="0" collapsed="false">
      <c r="C56" s="79"/>
      <c r="M56" s="79"/>
      <c r="N56" s="79"/>
      <c r="O56" s="79"/>
      <c r="X56" s="80"/>
    </row>
    <row r="57" customFormat="false" ht="14.05" hidden="false" customHeight="false" outlineLevel="0" collapsed="false">
      <c r="C57" s="79"/>
      <c r="M57" s="79"/>
      <c r="N57" s="79"/>
      <c r="O57" s="79"/>
      <c r="X57" s="80"/>
    </row>
    <row r="58" customFormat="false" ht="14.05" hidden="false" customHeight="false" outlineLevel="0" collapsed="false">
      <c r="C58" s="79"/>
      <c r="M58" s="79"/>
      <c r="N58" s="79"/>
      <c r="O58" s="79"/>
      <c r="X58" s="80"/>
    </row>
    <row r="59" customFormat="false" ht="14.05" hidden="false" customHeight="false" outlineLevel="0" collapsed="false">
      <c r="C59" s="79"/>
      <c r="M59" s="79"/>
      <c r="N59" s="79"/>
      <c r="O59" s="79"/>
      <c r="X59" s="81"/>
    </row>
  </sheetData>
  <mergeCells count="6">
    <mergeCell ref="A2:H2"/>
    <mergeCell ref="A7:I7"/>
    <mergeCell ref="A9:H9"/>
    <mergeCell ref="A12:H12"/>
    <mergeCell ref="A13:E13"/>
    <mergeCell ref="A14:E14"/>
  </mergeCells>
  <dataValidations count="1">
    <dataValidation allowBlank="true" operator="equal" showDropDown="false" showErrorMessage="true" showInputMessage="true" sqref="B17" type="list">
      <formula1>Country</formula1>
      <formula2>0</formula2>
    </dataValidation>
  </dataValidations>
  <printOptions headings="false" gridLines="false" gridLinesSet="true" horizontalCentered="false" verticalCentered="false"/>
  <pageMargins left="0.7" right="0.7" top="0.75" bottom="0.75" header="0.511805555555555" footer="0.511805555555555"/>
  <pageSetup paperSize="9" scale="6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sheetPr filterMode="false">
    <pageSetUpPr fitToPage="false"/>
  </sheetPr>
  <dimension ref="A1:K30"/>
  <sheetViews>
    <sheetView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4.05" zeroHeight="false" outlineLevelRow="0" outlineLevelCol="0"/>
  <cols>
    <col collapsed="false" customWidth="true" hidden="false" outlineLevel="0" max="1" min="1" style="1" width="16.08"/>
    <col collapsed="false" customWidth="true" hidden="false" outlineLevel="0" max="5" min="2" style="1" width="15.75"/>
    <col collapsed="false" customWidth="true" hidden="false" outlineLevel="0" max="6" min="6" style="1" width="5.58"/>
    <col collapsed="false" customWidth="true" hidden="false" outlineLevel="0" max="10" min="7" style="1" width="15.75"/>
    <col collapsed="false" customWidth="true" hidden="false" outlineLevel="0" max="1025" min="11" style="1" width="8.71"/>
  </cols>
  <sheetData>
    <row r="1" customFormat="false" ht="17.65" hidden="false" customHeight="false" outlineLevel="0" collapsed="false">
      <c r="A1" s="82" t="s">
        <v>173</v>
      </c>
    </row>
    <row r="2" customFormat="false" ht="14.05" hidden="false" customHeight="false" outlineLevel="0" collapsed="false">
      <c r="A2" s="1" t="s">
        <v>174</v>
      </c>
    </row>
    <row r="4" customFormat="false" ht="14.05" hidden="false" customHeight="false" outlineLevel="0" collapsed="false">
      <c r="A4" s="30" t="s">
        <v>175</v>
      </c>
      <c r="B4" s="262" t="str">
        <f aca="false">HLOOKUP('Main calculation'!$B$17,'Monetary Values'!$D$4:$G$68,44,0)</f>
        <v>EURg/vehicle km</v>
      </c>
      <c r="C4" s="263"/>
      <c r="D4" s="264"/>
      <c r="E4" s="264"/>
      <c r="F4" s="264"/>
      <c r="G4" s="264"/>
    </row>
    <row r="5" customFormat="false" ht="14.05" hidden="false" customHeight="false" outlineLevel="0" collapsed="false">
      <c r="A5" s="265"/>
      <c r="B5" s="266" t="n">
        <f aca="false">HLOOKUP('Main calculation'!$B$17,'Monetary Values'!$D$4:$G$68,45,0)</f>
        <v>0.074628270280683</v>
      </c>
      <c r="C5" s="267"/>
      <c r="D5" s="268"/>
      <c r="E5" s="268"/>
      <c r="F5" s="268"/>
      <c r="G5" s="268"/>
    </row>
    <row r="6" customFormat="false" ht="14.05" hidden="false" customHeight="false" outlineLevel="0" collapsed="false">
      <c r="A6" s="269"/>
      <c r="B6" s="270"/>
      <c r="C6" s="270"/>
      <c r="D6" s="268"/>
      <c r="E6" s="268"/>
      <c r="F6" s="268"/>
      <c r="G6" s="268"/>
    </row>
    <row r="7" customFormat="false" ht="14.05" hidden="false" customHeight="false" outlineLevel="0" collapsed="false">
      <c r="A7" s="269"/>
      <c r="B7" s="100"/>
      <c r="C7" s="100"/>
      <c r="D7" s="270"/>
      <c r="E7" s="268"/>
      <c r="F7" s="268"/>
      <c r="G7" s="268"/>
      <c r="H7" s="268"/>
    </row>
    <row r="8" customFormat="false" ht="17.65" hidden="false" customHeight="false" outlineLevel="0" collapsed="false">
      <c r="B8" s="37" t="s">
        <v>27</v>
      </c>
      <c r="C8" s="203"/>
      <c r="D8" s="203"/>
      <c r="E8" s="203"/>
      <c r="F8" s="39"/>
      <c r="G8" s="40" t="s">
        <v>28</v>
      </c>
      <c r="H8" s="40"/>
      <c r="I8" s="41"/>
      <c r="J8" s="41"/>
      <c r="K8" s="11"/>
    </row>
    <row r="9" customFormat="false" ht="41.75" hidden="false" customHeight="false" outlineLevel="0" collapsed="false">
      <c r="B9" s="57" t="s">
        <v>30</v>
      </c>
      <c r="C9" s="271" t="s">
        <v>176</v>
      </c>
      <c r="D9" s="271" t="s">
        <v>24</v>
      </c>
      <c r="E9" s="271" t="s">
        <v>177</v>
      </c>
      <c r="F9" s="39"/>
      <c r="G9" s="57" t="s">
        <v>30</v>
      </c>
      <c r="H9" s="271" t="s">
        <v>176</v>
      </c>
      <c r="I9" s="272" t="s">
        <v>24</v>
      </c>
      <c r="J9" s="271" t="s">
        <v>177</v>
      </c>
    </row>
    <row r="10" customFormat="false" ht="14.05" hidden="false" customHeight="false" outlineLevel="0" collapsed="false">
      <c r="A10" s="56" t="str">
        <f aca="false">IF('Main calculation'!$B$19=2013, "Starting year --&gt;","" )</f>
        <v/>
      </c>
      <c r="B10" s="57" t="n">
        <f aca="false">'Main calculation'!C26</f>
        <v>2013</v>
      </c>
      <c r="C10" s="159"/>
      <c r="D10" s="273" t="n">
        <f aca="false">'Main calculation'!$B$21</f>
        <v>300</v>
      </c>
      <c r="E10" s="190" t="n">
        <f aca="false">C10*$B$5</f>
        <v>0</v>
      </c>
      <c r="F10" s="39"/>
      <c r="G10" s="57" t="n">
        <f aca="false">'Main calculation'!C26</f>
        <v>2013</v>
      </c>
      <c r="H10" s="254"/>
      <c r="I10" s="273" t="n">
        <f aca="false">'Main calculation'!$B$21</f>
        <v>300</v>
      </c>
      <c r="J10" s="190" t="n">
        <f aca="false">H10*$B$5</f>
        <v>0</v>
      </c>
    </row>
    <row r="11" customFormat="false" ht="14.05" hidden="false" customHeight="false" outlineLevel="0" collapsed="false">
      <c r="A11" s="56" t="str">
        <f aca="false">IF('Main calculation'!$B$19=2014, "Starting year --&gt;","" )</f>
        <v>Starting year --&gt;</v>
      </c>
      <c r="B11" s="57" t="n">
        <f aca="false">'Main calculation'!C27</f>
        <v>2014</v>
      </c>
      <c r="C11" s="159"/>
      <c r="D11" s="273" t="n">
        <f aca="false">'Main calculation'!$B$21</f>
        <v>300</v>
      </c>
      <c r="E11" s="190" t="n">
        <f aca="false">C11*$B$5</f>
        <v>0</v>
      </c>
      <c r="F11" s="39"/>
      <c r="G11" s="57" t="n">
        <f aca="false">'Main calculation'!C27</f>
        <v>2014</v>
      </c>
      <c r="H11" s="254"/>
      <c r="I11" s="273" t="n">
        <f aca="false">'Main calculation'!$B$21</f>
        <v>300</v>
      </c>
      <c r="J11" s="190" t="n">
        <f aca="false">H11*$B$5</f>
        <v>0</v>
      </c>
    </row>
    <row r="12" customFormat="false" ht="14.05" hidden="false" customHeight="false" outlineLevel="0" collapsed="false">
      <c r="A12" s="56" t="str">
        <f aca="false">IF('Main calculation'!$B$19=2015, "Starting year --&gt;","" )</f>
        <v/>
      </c>
      <c r="B12" s="57" t="n">
        <f aca="false">'Main calculation'!C28</f>
        <v>2015</v>
      </c>
      <c r="C12" s="159"/>
      <c r="D12" s="273" t="n">
        <f aca="false">'Main calculation'!$B$21</f>
        <v>300</v>
      </c>
      <c r="E12" s="190" t="n">
        <f aca="false">C12*$B$5</f>
        <v>0</v>
      </c>
      <c r="F12" s="39"/>
      <c r="G12" s="57" t="n">
        <f aca="false">'Main calculation'!C28</f>
        <v>2015</v>
      </c>
      <c r="H12" s="254"/>
      <c r="I12" s="273" t="n">
        <f aca="false">'Main calculation'!$B$21</f>
        <v>300</v>
      </c>
      <c r="J12" s="190" t="n">
        <f aca="false">H12*$B$5</f>
        <v>0</v>
      </c>
    </row>
    <row r="13" customFormat="false" ht="14.05" hidden="false" customHeight="false" outlineLevel="0" collapsed="false">
      <c r="A13" s="56" t="str">
        <f aca="false">IF('Main calculation'!$B$19=2016, "Starting year --&gt;","" )</f>
        <v/>
      </c>
      <c r="B13" s="57" t="n">
        <f aca="false">'Main calculation'!C29</f>
        <v>2016</v>
      </c>
      <c r="C13" s="159"/>
      <c r="D13" s="273" t="n">
        <f aca="false">'Main calculation'!$B$21</f>
        <v>300</v>
      </c>
      <c r="E13" s="190" t="n">
        <f aca="false">C13*$B$5</f>
        <v>0</v>
      </c>
      <c r="F13" s="39"/>
      <c r="G13" s="57" t="n">
        <f aca="false">'Main calculation'!C29</f>
        <v>2016</v>
      </c>
      <c r="H13" s="254"/>
      <c r="I13" s="273" t="n">
        <f aca="false">'Main calculation'!$B$21</f>
        <v>300</v>
      </c>
      <c r="J13" s="190" t="n">
        <f aca="false">H13*$B$5</f>
        <v>0</v>
      </c>
    </row>
    <row r="14" customFormat="false" ht="14.05" hidden="false" customHeight="false" outlineLevel="0" collapsed="false">
      <c r="A14" s="56" t="str">
        <f aca="false">IF('Main calculation'!$B$19=2017, "Starting year --&gt;","" )</f>
        <v/>
      </c>
      <c r="B14" s="57" t="n">
        <f aca="false">'Main calculation'!C30</f>
        <v>2017</v>
      </c>
      <c r="C14" s="159"/>
      <c r="D14" s="273" t="n">
        <f aca="false">'Main calculation'!$B$21</f>
        <v>300</v>
      </c>
      <c r="E14" s="190" t="n">
        <f aca="false">C14*$B$5</f>
        <v>0</v>
      </c>
      <c r="F14" s="39"/>
      <c r="G14" s="57" t="n">
        <f aca="false">'Main calculation'!C30</f>
        <v>2017</v>
      </c>
      <c r="H14" s="254"/>
      <c r="I14" s="273" t="n">
        <f aca="false">'Main calculation'!$B$21</f>
        <v>300</v>
      </c>
      <c r="J14" s="190" t="n">
        <f aca="false">H14*$B$5</f>
        <v>0</v>
      </c>
    </row>
    <row r="15" customFormat="false" ht="14.05" hidden="false" customHeight="false" outlineLevel="0" collapsed="false">
      <c r="A15" s="56" t="str">
        <f aca="false">IF('Main calculation'!$B$19=2018, "Starting year --&gt;","" )</f>
        <v/>
      </c>
      <c r="B15" s="57" t="n">
        <f aca="false">'Main calculation'!C31</f>
        <v>2018</v>
      </c>
      <c r="C15" s="159"/>
      <c r="D15" s="273" t="n">
        <f aca="false">'Main calculation'!$B$21</f>
        <v>300</v>
      </c>
      <c r="E15" s="190" t="n">
        <f aca="false">C15*$B$5</f>
        <v>0</v>
      </c>
      <c r="F15" s="39"/>
      <c r="G15" s="57" t="n">
        <f aca="false">'Main calculation'!C31</f>
        <v>2018</v>
      </c>
      <c r="H15" s="254"/>
      <c r="I15" s="273" t="n">
        <f aca="false">'Main calculation'!$B$21</f>
        <v>300</v>
      </c>
      <c r="J15" s="190" t="n">
        <f aca="false">H15*$B$5</f>
        <v>0</v>
      </c>
    </row>
    <row r="16" customFormat="false" ht="14.05" hidden="false" customHeight="false" outlineLevel="0" collapsed="false">
      <c r="A16" s="56" t="str">
        <f aca="false">IF('Main calculation'!$B$19=2019, "Starting year --&gt;","" )</f>
        <v/>
      </c>
      <c r="B16" s="57" t="n">
        <f aca="false">'Main calculation'!C32</f>
        <v>2019</v>
      </c>
      <c r="C16" s="159"/>
      <c r="D16" s="273" t="n">
        <f aca="false">'Main calculation'!$B$21</f>
        <v>300</v>
      </c>
      <c r="E16" s="190" t="n">
        <f aca="false">C16*$B$5</f>
        <v>0</v>
      </c>
      <c r="F16" s="39"/>
      <c r="G16" s="57" t="n">
        <f aca="false">'Main calculation'!C32</f>
        <v>2019</v>
      </c>
      <c r="H16" s="254"/>
      <c r="I16" s="273" t="n">
        <f aca="false">'Main calculation'!$B$21</f>
        <v>300</v>
      </c>
      <c r="J16" s="190" t="n">
        <f aca="false">H16*$B$5</f>
        <v>0</v>
      </c>
    </row>
    <row r="17" customFormat="false" ht="14.05" hidden="false" customHeight="false" outlineLevel="0" collapsed="false">
      <c r="A17" s="56" t="str">
        <f aca="false">IF('Main calculation'!$B$19=2020, "Starting year --&gt;","" )</f>
        <v/>
      </c>
      <c r="B17" s="57" t="n">
        <f aca="false">'Main calculation'!C33</f>
        <v>2020</v>
      </c>
      <c r="C17" s="159"/>
      <c r="D17" s="273" t="n">
        <f aca="false">'Main calculation'!$B$21</f>
        <v>300</v>
      </c>
      <c r="E17" s="190" t="n">
        <f aca="false">C17*$B$5</f>
        <v>0</v>
      </c>
      <c r="F17" s="39"/>
      <c r="G17" s="57" t="n">
        <f aca="false">'Main calculation'!C33</f>
        <v>2020</v>
      </c>
      <c r="H17" s="254"/>
      <c r="I17" s="273" t="n">
        <f aca="false">'Main calculation'!$B$21</f>
        <v>300</v>
      </c>
      <c r="J17" s="190" t="n">
        <f aca="false">H17*$B$5</f>
        <v>0</v>
      </c>
    </row>
    <row r="18" customFormat="false" ht="14.05" hidden="false" customHeight="false" outlineLevel="0" collapsed="false">
      <c r="A18" s="56" t="str">
        <f aca="false">IF('Main calculation'!$B$19=2021, "Starting year --&gt;","" )</f>
        <v/>
      </c>
      <c r="B18" s="57" t="n">
        <f aca="false">'Main calculation'!C34</f>
        <v>2021</v>
      </c>
      <c r="C18" s="159"/>
      <c r="D18" s="273" t="n">
        <f aca="false">'Main calculation'!$B$21</f>
        <v>300</v>
      </c>
      <c r="E18" s="190" t="n">
        <f aca="false">C18*$B$5</f>
        <v>0</v>
      </c>
      <c r="F18" s="39"/>
      <c r="G18" s="57" t="n">
        <f aca="false">'Main calculation'!C34</f>
        <v>2021</v>
      </c>
      <c r="H18" s="254"/>
      <c r="I18" s="273" t="n">
        <f aca="false">'Main calculation'!$B$21</f>
        <v>300</v>
      </c>
      <c r="J18" s="190" t="n">
        <f aca="false">H18*$B$5</f>
        <v>0</v>
      </c>
    </row>
    <row r="19" customFormat="false" ht="14.05" hidden="false" customHeight="false" outlineLevel="0" collapsed="false">
      <c r="A19" s="56" t="str">
        <f aca="false">IF('Main calculation'!$B$19=2022, "Starting year --&gt;","" )</f>
        <v/>
      </c>
      <c r="B19" s="57" t="n">
        <f aca="false">'Main calculation'!C35</f>
        <v>2022</v>
      </c>
      <c r="C19" s="159"/>
      <c r="D19" s="273" t="n">
        <f aca="false">'Main calculation'!$B$21</f>
        <v>300</v>
      </c>
      <c r="E19" s="190" t="n">
        <f aca="false">C19*$B$5</f>
        <v>0</v>
      </c>
      <c r="F19" s="39"/>
      <c r="G19" s="57" t="n">
        <f aca="false">'Main calculation'!C35</f>
        <v>2022</v>
      </c>
      <c r="H19" s="254"/>
      <c r="I19" s="273" t="n">
        <f aca="false">'Main calculation'!$B$21</f>
        <v>300</v>
      </c>
      <c r="J19" s="190" t="n">
        <f aca="false">H19*$B$5</f>
        <v>0</v>
      </c>
    </row>
    <row r="20" customFormat="false" ht="14.05" hidden="false" customHeight="false" outlineLevel="0" collapsed="false">
      <c r="A20" s="56" t="str">
        <f aca="false">IF('Main calculation'!$B$19=2023, "Starting year --&gt;","" )</f>
        <v/>
      </c>
      <c r="B20" s="57" t="n">
        <f aca="false">'Main calculation'!C36</f>
        <v>2023</v>
      </c>
      <c r="C20" s="159"/>
      <c r="D20" s="273" t="n">
        <f aca="false">'Main calculation'!$B$21</f>
        <v>300</v>
      </c>
      <c r="E20" s="190" t="n">
        <f aca="false">C20*$B$5</f>
        <v>0</v>
      </c>
      <c r="F20" s="39"/>
      <c r="G20" s="57" t="n">
        <f aca="false">'Main calculation'!C36</f>
        <v>2023</v>
      </c>
      <c r="H20" s="254"/>
      <c r="I20" s="273" t="n">
        <f aca="false">'Main calculation'!$B$21</f>
        <v>300</v>
      </c>
      <c r="J20" s="190" t="n">
        <f aca="false">H20*$B$5</f>
        <v>0</v>
      </c>
    </row>
    <row r="21" customFormat="false" ht="14.05" hidden="false" customHeight="false" outlineLevel="0" collapsed="false">
      <c r="A21" s="56" t="str">
        <f aca="false">IF('Main calculation'!$B$19=2024, "Starting year --&gt;","" )</f>
        <v/>
      </c>
      <c r="B21" s="57" t="n">
        <f aca="false">'Main calculation'!C37</f>
        <v>2024</v>
      </c>
      <c r="C21" s="159"/>
      <c r="D21" s="273" t="n">
        <f aca="false">'Main calculation'!$B$21</f>
        <v>300</v>
      </c>
      <c r="E21" s="190" t="n">
        <f aca="false">C21*$B$5</f>
        <v>0</v>
      </c>
      <c r="F21" s="39"/>
      <c r="G21" s="57" t="n">
        <f aca="false">'Main calculation'!C37</f>
        <v>2024</v>
      </c>
      <c r="H21" s="254"/>
      <c r="I21" s="273" t="n">
        <f aca="false">'Main calculation'!$B$21</f>
        <v>300</v>
      </c>
      <c r="J21" s="190" t="n">
        <f aca="false">H21*$B$5</f>
        <v>0</v>
      </c>
    </row>
    <row r="22" customFormat="false" ht="14.05" hidden="false" customHeight="false" outlineLevel="0" collapsed="false">
      <c r="A22" s="56" t="str">
        <f aca="false">IF('Main calculation'!$B$19=2025, "Starting year --&gt;","" )</f>
        <v/>
      </c>
      <c r="B22" s="57" t="n">
        <f aca="false">'Main calculation'!C38</f>
        <v>2025</v>
      </c>
      <c r="C22" s="159"/>
      <c r="D22" s="273" t="n">
        <f aca="false">'Main calculation'!$B$21</f>
        <v>300</v>
      </c>
      <c r="E22" s="190" t="n">
        <f aca="false">C22*$B$5</f>
        <v>0</v>
      </c>
      <c r="F22" s="39"/>
      <c r="G22" s="57" t="n">
        <f aca="false">'Main calculation'!C38</f>
        <v>2025</v>
      </c>
      <c r="H22" s="254"/>
      <c r="I22" s="273" t="n">
        <f aca="false">'Main calculation'!$B$21</f>
        <v>300</v>
      </c>
      <c r="J22" s="190" t="n">
        <f aca="false">H22*$B$5</f>
        <v>0</v>
      </c>
    </row>
    <row r="23" customFormat="false" ht="14.05" hidden="false" customHeight="false" outlineLevel="0" collapsed="false">
      <c r="A23" s="56" t="str">
        <f aca="false">IF('Main calculation'!$B$19=2026, "Starting year --&gt;","" )</f>
        <v/>
      </c>
      <c r="B23" s="57" t="n">
        <f aca="false">'Main calculation'!C39</f>
        <v>2026</v>
      </c>
      <c r="C23" s="159"/>
      <c r="D23" s="273" t="n">
        <f aca="false">'Main calculation'!$B$21</f>
        <v>300</v>
      </c>
      <c r="E23" s="190" t="n">
        <f aca="false">C23*$B$5</f>
        <v>0</v>
      </c>
      <c r="F23" s="39"/>
      <c r="G23" s="57" t="n">
        <f aca="false">'Main calculation'!C39</f>
        <v>2026</v>
      </c>
      <c r="H23" s="254"/>
      <c r="I23" s="273" t="n">
        <f aca="false">'Main calculation'!$B$21</f>
        <v>300</v>
      </c>
      <c r="J23" s="190" t="n">
        <f aca="false">H23*$B$5</f>
        <v>0</v>
      </c>
    </row>
    <row r="24" customFormat="false" ht="14.05" hidden="false" customHeight="false" outlineLevel="0" collapsed="false">
      <c r="A24" s="56" t="str">
        <f aca="false">IF('Main calculation'!$B$19=2027, "Starting year --&gt;","" )</f>
        <v/>
      </c>
      <c r="B24" s="57" t="n">
        <f aca="false">'Main calculation'!C40</f>
        <v>2027</v>
      </c>
      <c r="C24" s="159"/>
      <c r="D24" s="273" t="n">
        <f aca="false">'Main calculation'!$B$21</f>
        <v>300</v>
      </c>
      <c r="E24" s="190" t="n">
        <f aca="false">C24*$B$5</f>
        <v>0</v>
      </c>
      <c r="F24" s="39"/>
      <c r="G24" s="57" t="n">
        <f aca="false">'Main calculation'!C40</f>
        <v>2027</v>
      </c>
      <c r="H24" s="254"/>
      <c r="I24" s="273" t="n">
        <f aca="false">'Main calculation'!$B$21</f>
        <v>300</v>
      </c>
      <c r="J24" s="190" t="n">
        <f aca="false">H24*$B$5</f>
        <v>0</v>
      </c>
    </row>
    <row r="25" customFormat="false" ht="14.05" hidden="false" customHeight="false" outlineLevel="0" collapsed="false">
      <c r="A25" s="56" t="str">
        <f aca="false">IF('Main calculation'!$B$20=2028, "Finishing year --&gt;","" )</f>
        <v>Finishing year --&gt;</v>
      </c>
      <c r="B25" s="57" t="n">
        <f aca="false">'Main calculation'!C41</f>
        <v>2028</v>
      </c>
      <c r="C25" s="159"/>
      <c r="D25" s="273" t="n">
        <f aca="false">'Main calculation'!$B$21</f>
        <v>300</v>
      </c>
      <c r="E25" s="190" t="n">
        <f aca="false">C25*$B$5</f>
        <v>0</v>
      </c>
      <c r="F25" s="39"/>
      <c r="G25" s="57" t="n">
        <f aca="false">'Main calculation'!C41</f>
        <v>2028</v>
      </c>
      <c r="H25" s="254"/>
      <c r="I25" s="273" t="n">
        <f aca="false">'Main calculation'!$B$21</f>
        <v>300</v>
      </c>
      <c r="J25" s="190" t="n">
        <f aca="false">H25*$B$5</f>
        <v>0</v>
      </c>
    </row>
    <row r="26" customFormat="false" ht="14.05" hidden="false" customHeight="false" outlineLevel="0" collapsed="false">
      <c r="A26" s="56" t="str">
        <f aca="false">IF('Main calculation'!$B$20=2029, "Finishing year --&gt;","" )</f>
        <v/>
      </c>
      <c r="B26" s="57" t="n">
        <f aca="false">'Main calculation'!C42</f>
        <v>2029</v>
      </c>
      <c r="C26" s="159"/>
      <c r="D26" s="273" t="n">
        <f aca="false">'Main calculation'!$B$21</f>
        <v>300</v>
      </c>
      <c r="E26" s="190" t="n">
        <f aca="false">C26*$B$5</f>
        <v>0</v>
      </c>
      <c r="F26" s="39"/>
      <c r="G26" s="57" t="n">
        <f aca="false">'Main calculation'!C42</f>
        <v>2029</v>
      </c>
      <c r="H26" s="254"/>
      <c r="I26" s="273" t="n">
        <f aca="false">'Main calculation'!$B$21</f>
        <v>300</v>
      </c>
      <c r="J26" s="190" t="n">
        <f aca="false">H26*$B$5</f>
        <v>0</v>
      </c>
    </row>
    <row r="27" customFormat="false" ht="14.05" hidden="false" customHeight="false" outlineLevel="0" collapsed="false">
      <c r="A27" s="56" t="str">
        <f aca="false">IF('Main calculation'!$B$20=2030, "Finishing year --&gt;","" )</f>
        <v/>
      </c>
      <c r="B27" s="57" t="n">
        <f aca="false">'Main calculation'!C43</f>
        <v>2030</v>
      </c>
      <c r="C27" s="159"/>
      <c r="D27" s="273" t="n">
        <f aca="false">'Main calculation'!$B$21</f>
        <v>300</v>
      </c>
      <c r="E27" s="190" t="n">
        <f aca="false">C27*$B$5</f>
        <v>0</v>
      </c>
      <c r="F27" s="39"/>
      <c r="G27" s="57" t="n">
        <f aca="false">'Main calculation'!C43</f>
        <v>2030</v>
      </c>
      <c r="H27" s="254"/>
      <c r="I27" s="273" t="n">
        <f aca="false">'Main calculation'!$B$21</f>
        <v>300</v>
      </c>
      <c r="J27" s="190" t="n">
        <f aca="false">H27*$B$5</f>
        <v>0</v>
      </c>
    </row>
    <row r="28" customFormat="false" ht="14.05" hidden="false" customHeight="false" outlineLevel="0" collapsed="false">
      <c r="A28" s="56" t="str">
        <f aca="false">IF('Main calculation'!$B$20=2031, "Finishing year --&gt;","" )</f>
        <v/>
      </c>
    </row>
    <row r="29" customFormat="false" ht="14.05" hidden="false" customHeight="false" outlineLevel="0" collapsed="false">
      <c r="A29" s="56" t="str">
        <f aca="false">IF('Main calculation'!$B$20=2032, "Finishing year --&gt;","" )</f>
        <v/>
      </c>
    </row>
    <row r="30" customFormat="false" ht="14.05" hidden="false" customHeight="false" outlineLevel="0" collapsed="false">
      <c r="A30" s="56" t="str">
        <f aca="false">IF('Main calculation'!$B$20=2033, "Finishing year --&gt;","" )</f>
        <v/>
      </c>
    </row>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sheetPr filterMode="false">
    <pageSetUpPr fitToPage="false"/>
  </sheetPr>
  <dimension ref="A1:J26"/>
  <sheetViews>
    <sheetView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4.05" zeroHeight="false" outlineLevelRow="0" outlineLevelCol="0"/>
  <cols>
    <col collapsed="false" customWidth="true" hidden="false" outlineLevel="0" max="1" min="1" style="1" width="16.08"/>
    <col collapsed="false" customWidth="true" hidden="false" outlineLevel="0" max="5" min="2" style="1" width="15.75"/>
    <col collapsed="false" customWidth="true" hidden="false" outlineLevel="0" max="6" min="6" style="1" width="5.58"/>
    <col collapsed="false" customWidth="true" hidden="false" outlineLevel="0" max="10" min="7" style="1" width="15.75"/>
    <col collapsed="false" customWidth="true" hidden="false" outlineLevel="0" max="1025" min="11" style="1" width="8.71"/>
  </cols>
  <sheetData>
    <row r="1" customFormat="false" ht="17.65" hidden="false" customHeight="false" outlineLevel="0" collapsed="false">
      <c r="A1" s="82" t="s">
        <v>178</v>
      </c>
    </row>
    <row r="2" s="132" customFormat="true" ht="15" hidden="false" customHeight="true" outlineLevel="0" collapsed="false">
      <c r="A2" s="3" t="s">
        <v>179</v>
      </c>
      <c r="B2" s="3"/>
      <c r="C2" s="3"/>
      <c r="D2" s="3"/>
      <c r="E2" s="3"/>
      <c r="F2" s="3"/>
      <c r="G2" s="3"/>
      <c r="H2" s="3"/>
      <c r="I2" s="3"/>
    </row>
    <row r="3" customFormat="false" ht="14.05" hidden="false" customHeight="false" outlineLevel="0" collapsed="false">
      <c r="A3" s="11"/>
      <c r="B3" s="11"/>
      <c r="C3" s="11"/>
      <c r="D3" s="11"/>
      <c r="E3" s="11"/>
      <c r="F3" s="11"/>
      <c r="G3" s="11"/>
      <c r="H3" s="11"/>
      <c r="I3" s="11"/>
    </row>
    <row r="4" customFormat="false" ht="17.65" hidden="false" customHeight="false" outlineLevel="0" collapsed="false">
      <c r="B4" s="37" t="s">
        <v>27</v>
      </c>
      <c r="C4" s="203"/>
      <c r="D4" s="203"/>
      <c r="E4" s="203"/>
      <c r="F4" s="39"/>
      <c r="G4" s="40" t="s">
        <v>28</v>
      </c>
      <c r="H4" s="41"/>
      <c r="I4" s="41"/>
      <c r="J4" s="41"/>
    </row>
    <row r="5" customFormat="false" ht="28.35" hidden="false" customHeight="false" outlineLevel="0" collapsed="false">
      <c r="B5" s="57" t="s">
        <v>30</v>
      </c>
      <c r="C5" s="271"/>
      <c r="D5" s="187" t="s">
        <v>24</v>
      </c>
      <c r="E5" s="187" t="s">
        <v>180</v>
      </c>
      <c r="F5" s="39"/>
      <c r="G5" s="57" t="s">
        <v>30</v>
      </c>
      <c r="H5" s="271"/>
      <c r="I5" s="187" t="s">
        <v>24</v>
      </c>
      <c r="J5" s="187" t="s">
        <v>180</v>
      </c>
    </row>
    <row r="6" customFormat="false" ht="14.05" hidden="false" customHeight="false" outlineLevel="0" collapsed="false">
      <c r="A6" s="56" t="str">
        <f aca="false">IF('Main calculation'!$B$19=2013, "Starting year --&gt;","" )</f>
        <v/>
      </c>
      <c r="B6" s="57" t="n">
        <f aca="false">'Main calculation'!C26</f>
        <v>2013</v>
      </c>
      <c r="C6" s="159"/>
      <c r="D6" s="57" t="n">
        <f aca="false">'Main calculation'!B18</f>
        <v>200000</v>
      </c>
      <c r="E6" s="190"/>
      <c r="F6" s="39"/>
      <c r="G6" s="57" t="n">
        <f aca="false">'Main calculation'!C26</f>
        <v>2013</v>
      </c>
      <c r="H6" s="254"/>
      <c r="I6" s="57" t="n">
        <f aca="false">'Main calculation'!B18</f>
        <v>200000</v>
      </c>
      <c r="J6" s="274"/>
    </row>
    <row r="7" customFormat="false" ht="14.05" hidden="false" customHeight="false" outlineLevel="0" collapsed="false">
      <c r="A7" s="56" t="str">
        <f aca="false">IF('Main calculation'!$B$19=2014, "Starting year --&gt;","" )</f>
        <v>Starting year --&gt;</v>
      </c>
      <c r="B7" s="57" t="n">
        <f aca="false">'Main calculation'!C27</f>
        <v>2014</v>
      </c>
      <c r="C7" s="159"/>
      <c r="D7" s="57" t="n">
        <f aca="false">'Main calculation'!B19</f>
        <v>2014</v>
      </c>
      <c r="E7" s="190"/>
      <c r="F7" s="39"/>
      <c r="G7" s="57" t="n">
        <f aca="false">'Main calculation'!C27</f>
        <v>2014</v>
      </c>
      <c r="H7" s="254"/>
      <c r="I7" s="57" t="n">
        <f aca="false">'Main calculation'!B19</f>
        <v>2014</v>
      </c>
      <c r="J7" s="274"/>
    </row>
    <row r="8" customFormat="false" ht="14.05" hidden="false" customHeight="false" outlineLevel="0" collapsed="false">
      <c r="A8" s="56" t="str">
        <f aca="false">IF('Main calculation'!$B$19=2015, "Starting year --&gt;","" )</f>
        <v/>
      </c>
      <c r="B8" s="57" t="n">
        <f aca="false">'Main calculation'!C28</f>
        <v>2015</v>
      </c>
      <c r="C8" s="159"/>
      <c r="D8" s="57" t="n">
        <f aca="false">'Main calculation'!B21</f>
        <v>300</v>
      </c>
      <c r="E8" s="190"/>
      <c r="F8" s="39"/>
      <c r="G8" s="57" t="n">
        <f aca="false">'Main calculation'!C28</f>
        <v>2015</v>
      </c>
      <c r="H8" s="254"/>
      <c r="I8" s="57" t="n">
        <f aca="false">'Main calculation'!B21</f>
        <v>300</v>
      </c>
      <c r="J8" s="274"/>
    </row>
    <row r="9" customFormat="false" ht="14.05" hidden="false" customHeight="false" outlineLevel="0" collapsed="false">
      <c r="A9" s="56" t="str">
        <f aca="false">IF('Main calculation'!$B$19=2016, "Starting year --&gt;","" )</f>
        <v/>
      </c>
      <c r="B9" s="57" t="n">
        <f aca="false">'Main calculation'!C29</f>
        <v>2016</v>
      </c>
      <c r="C9" s="159"/>
      <c r="D9" s="57" t="n">
        <f aca="false">'Main calculation'!B21</f>
        <v>300</v>
      </c>
      <c r="E9" s="190"/>
      <c r="F9" s="39"/>
      <c r="G9" s="57" t="n">
        <f aca="false">'Main calculation'!C29</f>
        <v>2016</v>
      </c>
      <c r="H9" s="254"/>
      <c r="I9" s="57" t="n">
        <f aca="false">'Main calculation'!B21</f>
        <v>300</v>
      </c>
      <c r="J9" s="274"/>
    </row>
    <row r="10" customFormat="false" ht="14.05" hidden="false" customHeight="false" outlineLevel="0" collapsed="false">
      <c r="A10" s="56" t="str">
        <f aca="false">IF('Main calculation'!$B$19=2017, "Starting year --&gt;","" )</f>
        <v/>
      </c>
      <c r="B10" s="57" t="n">
        <f aca="false">'Main calculation'!C30</f>
        <v>2017</v>
      </c>
      <c r="C10" s="159"/>
      <c r="D10" s="57" t="n">
        <f aca="false">'Main calculation'!B21</f>
        <v>300</v>
      </c>
      <c r="E10" s="190"/>
      <c r="F10" s="39"/>
      <c r="G10" s="57" t="n">
        <f aca="false">'Main calculation'!C30</f>
        <v>2017</v>
      </c>
      <c r="H10" s="254"/>
      <c r="I10" s="57" t="n">
        <f aca="false">'Main calculation'!B21</f>
        <v>300</v>
      </c>
      <c r="J10" s="274"/>
    </row>
    <row r="11" customFormat="false" ht="14.05" hidden="false" customHeight="false" outlineLevel="0" collapsed="false">
      <c r="A11" s="56" t="str">
        <f aca="false">IF('Main calculation'!$B$19=2018, "Starting year --&gt;","" )</f>
        <v/>
      </c>
      <c r="B11" s="57" t="n">
        <f aca="false">'Main calculation'!C31</f>
        <v>2018</v>
      </c>
      <c r="C11" s="159"/>
      <c r="D11" s="57" t="n">
        <f aca="false">'Main calculation'!B21</f>
        <v>300</v>
      </c>
      <c r="E11" s="190"/>
      <c r="F11" s="39"/>
      <c r="G11" s="57" t="n">
        <f aca="false">'Main calculation'!C31</f>
        <v>2018</v>
      </c>
      <c r="H11" s="254"/>
      <c r="I11" s="57" t="n">
        <f aca="false">'Main calculation'!B21</f>
        <v>300</v>
      </c>
      <c r="J11" s="274"/>
    </row>
    <row r="12" customFormat="false" ht="14.05" hidden="false" customHeight="false" outlineLevel="0" collapsed="false">
      <c r="A12" s="56" t="str">
        <f aca="false">IF('Main calculation'!$B$19=2019, "Starting year --&gt;","" )</f>
        <v/>
      </c>
      <c r="B12" s="57" t="n">
        <f aca="false">'Main calculation'!C32</f>
        <v>2019</v>
      </c>
      <c r="C12" s="159"/>
      <c r="D12" s="57" t="n">
        <f aca="false">'Main calculation'!B21</f>
        <v>300</v>
      </c>
      <c r="E12" s="190"/>
      <c r="F12" s="39"/>
      <c r="G12" s="57" t="n">
        <f aca="false">'Main calculation'!C32</f>
        <v>2019</v>
      </c>
      <c r="H12" s="254"/>
      <c r="I12" s="57" t="n">
        <f aca="false">'Main calculation'!B21</f>
        <v>300</v>
      </c>
      <c r="J12" s="274"/>
    </row>
    <row r="13" customFormat="false" ht="14.05" hidden="false" customHeight="false" outlineLevel="0" collapsed="false">
      <c r="A13" s="56" t="str">
        <f aca="false">IF('Main calculation'!$B$19=2020, "Starting year --&gt;","" )</f>
        <v/>
      </c>
      <c r="B13" s="57" t="n">
        <f aca="false">'Main calculation'!C33</f>
        <v>2020</v>
      </c>
      <c r="C13" s="159"/>
      <c r="D13" s="57" t="n">
        <f aca="false">'Main calculation'!B21</f>
        <v>300</v>
      </c>
      <c r="E13" s="190"/>
      <c r="F13" s="39"/>
      <c r="G13" s="57" t="n">
        <f aca="false">'Main calculation'!C33</f>
        <v>2020</v>
      </c>
      <c r="H13" s="254"/>
      <c r="I13" s="57" t="n">
        <f aca="false">'Main calculation'!B21</f>
        <v>300</v>
      </c>
      <c r="J13" s="274"/>
    </row>
    <row r="14" customFormat="false" ht="14.05" hidden="false" customHeight="false" outlineLevel="0" collapsed="false">
      <c r="A14" s="56" t="str">
        <f aca="false">IF('Main calculation'!$B$19=2021, "Starting year --&gt;","" )</f>
        <v/>
      </c>
      <c r="B14" s="57" t="n">
        <f aca="false">'Main calculation'!C34</f>
        <v>2021</v>
      </c>
      <c r="C14" s="159"/>
      <c r="D14" s="57" t="n">
        <f aca="false">'Main calculation'!B21</f>
        <v>300</v>
      </c>
      <c r="E14" s="190"/>
      <c r="F14" s="39"/>
      <c r="G14" s="57" t="n">
        <f aca="false">'Main calculation'!C34</f>
        <v>2021</v>
      </c>
      <c r="H14" s="254"/>
      <c r="I14" s="57" t="n">
        <f aca="false">'Main calculation'!B21</f>
        <v>300</v>
      </c>
      <c r="J14" s="274"/>
    </row>
    <row r="15" customFormat="false" ht="14.05" hidden="false" customHeight="false" outlineLevel="0" collapsed="false">
      <c r="A15" s="56" t="str">
        <f aca="false">IF('Main calculation'!$B$19=2022, "Starting year --&gt;","" )</f>
        <v/>
      </c>
      <c r="B15" s="57" t="n">
        <f aca="false">'Main calculation'!C35</f>
        <v>2022</v>
      </c>
      <c r="C15" s="159"/>
      <c r="D15" s="57" t="n">
        <f aca="false">'Main calculation'!B21</f>
        <v>300</v>
      </c>
      <c r="E15" s="190"/>
      <c r="F15" s="39"/>
      <c r="G15" s="57" t="n">
        <f aca="false">'Main calculation'!C35</f>
        <v>2022</v>
      </c>
      <c r="H15" s="254"/>
      <c r="I15" s="57" t="n">
        <f aca="false">'Main calculation'!B21</f>
        <v>300</v>
      </c>
      <c r="J15" s="274"/>
    </row>
    <row r="16" customFormat="false" ht="14.05" hidden="false" customHeight="false" outlineLevel="0" collapsed="false">
      <c r="A16" s="56" t="str">
        <f aca="false">IF('Main calculation'!$B$19=2023, "Starting year --&gt;","" )</f>
        <v/>
      </c>
      <c r="B16" s="57" t="n">
        <f aca="false">'Main calculation'!C36</f>
        <v>2023</v>
      </c>
      <c r="C16" s="159"/>
      <c r="D16" s="57" t="n">
        <f aca="false">'Main calculation'!B21</f>
        <v>300</v>
      </c>
      <c r="E16" s="190"/>
      <c r="F16" s="39"/>
      <c r="G16" s="57" t="n">
        <f aca="false">'Main calculation'!C36</f>
        <v>2023</v>
      </c>
      <c r="H16" s="254"/>
      <c r="I16" s="57" t="n">
        <f aca="false">'Main calculation'!B21</f>
        <v>300</v>
      </c>
      <c r="J16" s="274"/>
    </row>
    <row r="17" customFormat="false" ht="14.05" hidden="false" customHeight="false" outlineLevel="0" collapsed="false">
      <c r="A17" s="56" t="str">
        <f aca="false">IF('Main calculation'!$B$19=2024, "Starting year --&gt;","" )</f>
        <v/>
      </c>
      <c r="B17" s="57" t="n">
        <f aca="false">'Main calculation'!C37</f>
        <v>2024</v>
      </c>
      <c r="C17" s="159"/>
      <c r="D17" s="57" t="n">
        <f aca="false">'Main calculation'!B21</f>
        <v>300</v>
      </c>
      <c r="E17" s="190"/>
      <c r="F17" s="39"/>
      <c r="G17" s="57" t="n">
        <f aca="false">'Main calculation'!C37</f>
        <v>2024</v>
      </c>
      <c r="H17" s="254"/>
      <c r="I17" s="57" t="n">
        <f aca="false">'Main calculation'!B21</f>
        <v>300</v>
      </c>
      <c r="J17" s="274"/>
    </row>
    <row r="18" customFormat="false" ht="14.05" hidden="false" customHeight="false" outlineLevel="0" collapsed="false">
      <c r="A18" s="56" t="str">
        <f aca="false">IF('Main calculation'!$B$19=2025, "Starting year --&gt;","" )</f>
        <v/>
      </c>
      <c r="B18" s="57" t="n">
        <f aca="false">'Main calculation'!C38</f>
        <v>2025</v>
      </c>
      <c r="C18" s="159"/>
      <c r="D18" s="57" t="n">
        <f aca="false">'Main calculation'!B21</f>
        <v>300</v>
      </c>
      <c r="E18" s="190"/>
      <c r="F18" s="39"/>
      <c r="G18" s="57" t="n">
        <f aca="false">'Main calculation'!C38</f>
        <v>2025</v>
      </c>
      <c r="H18" s="254"/>
      <c r="I18" s="57" t="n">
        <f aca="false">'Main calculation'!B21</f>
        <v>300</v>
      </c>
      <c r="J18" s="274"/>
    </row>
    <row r="19" customFormat="false" ht="14.05" hidden="false" customHeight="false" outlineLevel="0" collapsed="false">
      <c r="A19" s="56" t="str">
        <f aca="false">IF('Main calculation'!$B$19=2026, "Starting year --&gt;","" )</f>
        <v/>
      </c>
      <c r="B19" s="57" t="n">
        <f aca="false">'Main calculation'!C39</f>
        <v>2026</v>
      </c>
      <c r="C19" s="159"/>
      <c r="D19" s="57" t="n">
        <f aca="false">'Main calculation'!B21</f>
        <v>300</v>
      </c>
      <c r="E19" s="190"/>
      <c r="F19" s="39"/>
      <c r="G19" s="57" t="n">
        <f aca="false">'Main calculation'!C39</f>
        <v>2026</v>
      </c>
      <c r="H19" s="254"/>
      <c r="I19" s="57" t="n">
        <f aca="false">'Main calculation'!B21</f>
        <v>300</v>
      </c>
      <c r="J19" s="274"/>
    </row>
    <row r="20" customFormat="false" ht="14.05" hidden="false" customHeight="false" outlineLevel="0" collapsed="false">
      <c r="A20" s="56" t="str">
        <f aca="false">IF('Main calculation'!$B$19=2027, "Starting year --&gt;","" )</f>
        <v/>
      </c>
      <c r="B20" s="57" t="n">
        <f aca="false">'Main calculation'!C40</f>
        <v>2027</v>
      </c>
      <c r="C20" s="159"/>
      <c r="D20" s="57" t="n">
        <f aca="false">'Main calculation'!B21</f>
        <v>300</v>
      </c>
      <c r="E20" s="190"/>
      <c r="F20" s="39"/>
      <c r="G20" s="57" t="n">
        <f aca="false">'Main calculation'!C40</f>
        <v>2027</v>
      </c>
      <c r="H20" s="254"/>
      <c r="I20" s="57" t="n">
        <f aca="false">'Main calculation'!B21</f>
        <v>300</v>
      </c>
      <c r="J20" s="274"/>
    </row>
    <row r="21" customFormat="false" ht="14.05" hidden="false" customHeight="false" outlineLevel="0" collapsed="false">
      <c r="A21" s="56" t="str">
        <f aca="false">IF('Main calculation'!$B$20=2028, "Finishing year --&gt;","" )</f>
        <v>Finishing year --&gt;</v>
      </c>
      <c r="B21" s="57" t="n">
        <f aca="false">'Main calculation'!C41</f>
        <v>2028</v>
      </c>
      <c r="C21" s="159"/>
      <c r="D21" s="57" t="n">
        <f aca="false">'Main calculation'!B21</f>
        <v>300</v>
      </c>
      <c r="E21" s="190"/>
      <c r="F21" s="39"/>
      <c r="G21" s="57" t="n">
        <f aca="false">'Main calculation'!C41</f>
        <v>2028</v>
      </c>
      <c r="H21" s="254"/>
      <c r="I21" s="57" t="n">
        <f aca="false">'Main calculation'!B21</f>
        <v>300</v>
      </c>
      <c r="J21" s="274"/>
    </row>
    <row r="22" customFormat="false" ht="14.05" hidden="false" customHeight="false" outlineLevel="0" collapsed="false">
      <c r="A22" s="56" t="str">
        <f aca="false">IF('Main calculation'!$B$20=2029, "Finishing year --&gt;","" )</f>
        <v/>
      </c>
      <c r="B22" s="57" t="n">
        <f aca="false">'Main calculation'!C42</f>
        <v>2029</v>
      </c>
      <c r="C22" s="159"/>
      <c r="D22" s="57" t="n">
        <f aca="false">'Main calculation'!B21</f>
        <v>300</v>
      </c>
      <c r="E22" s="190"/>
      <c r="F22" s="39"/>
      <c r="G22" s="57" t="n">
        <f aca="false">'Main calculation'!C42</f>
        <v>2029</v>
      </c>
      <c r="H22" s="254"/>
      <c r="I22" s="57" t="n">
        <f aca="false">'Main calculation'!B21</f>
        <v>300</v>
      </c>
      <c r="J22" s="274"/>
    </row>
    <row r="23" customFormat="false" ht="14.05" hidden="false" customHeight="false" outlineLevel="0" collapsed="false">
      <c r="A23" s="56" t="str">
        <f aca="false">IF('Main calculation'!$B$20=2030, "Finishing year --&gt;","" )</f>
        <v/>
      </c>
      <c r="B23" s="57" t="n">
        <f aca="false">'Main calculation'!C43</f>
        <v>2030</v>
      </c>
      <c r="C23" s="159"/>
      <c r="D23" s="57" t="n">
        <f aca="false">'Main calculation'!B21</f>
        <v>300</v>
      </c>
      <c r="E23" s="190"/>
      <c r="F23" s="39"/>
      <c r="G23" s="57" t="n">
        <f aca="false">'Main calculation'!C43</f>
        <v>2030</v>
      </c>
      <c r="H23" s="254"/>
      <c r="I23" s="57" t="n">
        <f aca="false">'Main calculation'!B21</f>
        <v>300</v>
      </c>
      <c r="J23" s="274"/>
    </row>
    <row r="24" customFormat="false" ht="14.05" hidden="false" customHeight="false" outlineLevel="0" collapsed="false">
      <c r="A24" s="56" t="str">
        <f aca="false">IF('Main calculation'!$B$20=2031, "Finishing year --&gt;","" )</f>
        <v/>
      </c>
    </row>
    <row r="25" customFormat="false" ht="14.05" hidden="false" customHeight="false" outlineLevel="0" collapsed="false">
      <c r="A25" s="56" t="str">
        <f aca="false">IF('Main calculation'!$B$20=2032, "Finishing year --&gt;","" )</f>
        <v/>
      </c>
    </row>
    <row r="26" customFormat="false" ht="14.05" hidden="false" customHeight="false" outlineLevel="0" collapsed="false">
      <c r="A26" s="56" t="str">
        <f aca="false">IF('Main calculation'!$B$20=2033, "Finishing year --&gt;","" )</f>
        <v/>
      </c>
    </row>
  </sheetData>
  <mergeCells count="1">
    <mergeCell ref="A2:I2"/>
  </mergeCell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sheetPr filterMode="false">
    <pageSetUpPr fitToPage="false"/>
  </sheetPr>
  <dimension ref="A1:I29"/>
  <sheetViews>
    <sheetView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4.05" zeroHeight="false" outlineLevelRow="0" outlineLevelCol="0"/>
  <cols>
    <col collapsed="false" customWidth="true" hidden="false" outlineLevel="0" max="1" min="1" style="1" width="15.96"/>
    <col collapsed="false" customWidth="true" hidden="false" outlineLevel="0" max="2" min="2" style="1" width="15.75"/>
    <col collapsed="false" customWidth="true" hidden="false" outlineLevel="0" max="3" min="3" style="1" width="16.64"/>
    <col collapsed="false" customWidth="true" hidden="false" outlineLevel="0" max="4" min="4" style="1" width="15.75"/>
    <col collapsed="false" customWidth="true" hidden="false" outlineLevel="0" max="5" min="5" style="1" width="5.58"/>
    <col collapsed="false" customWidth="true" hidden="false" outlineLevel="0" max="6" min="6" style="1" width="15.75"/>
    <col collapsed="false" customWidth="true" hidden="false" outlineLevel="0" max="7" min="7" style="1" width="17.53"/>
    <col collapsed="false" customWidth="true" hidden="false" outlineLevel="0" max="8" min="8" style="1" width="15.75"/>
    <col collapsed="false" customWidth="true" hidden="false" outlineLevel="0" max="1025" min="9" style="1" width="8.71"/>
  </cols>
  <sheetData>
    <row r="1" customFormat="false" ht="17.65" hidden="false" customHeight="false" outlineLevel="0" collapsed="false">
      <c r="A1" s="82" t="s">
        <v>181</v>
      </c>
    </row>
    <row r="2" customFormat="false" ht="14.05" hidden="false" customHeight="false" outlineLevel="0" collapsed="false">
      <c r="A2" s="1" t="s">
        <v>182</v>
      </c>
    </row>
    <row r="3" customFormat="false" ht="14.05" hidden="false" customHeight="false" outlineLevel="0" collapsed="false">
      <c r="A3" s="1" t="s">
        <v>183</v>
      </c>
    </row>
    <row r="4" customFormat="false" ht="14.05" hidden="false" customHeight="false" outlineLevel="0" collapsed="false">
      <c r="A4" s="1" t="s">
        <v>184</v>
      </c>
    </row>
    <row r="7" customFormat="false" ht="17.65" hidden="false" customHeight="false" outlineLevel="0" collapsed="false">
      <c r="B7" s="37" t="s">
        <v>27</v>
      </c>
      <c r="C7" s="203"/>
      <c r="D7" s="203"/>
      <c r="E7" s="39"/>
      <c r="F7" s="40" t="s">
        <v>28</v>
      </c>
      <c r="G7" s="40"/>
      <c r="H7" s="41"/>
      <c r="I7" s="11"/>
    </row>
    <row r="8" customFormat="false" ht="55.2" hidden="false" customHeight="false" outlineLevel="0" collapsed="false">
      <c r="B8" s="100" t="s">
        <v>30</v>
      </c>
      <c r="C8" s="3" t="s">
        <v>185</v>
      </c>
      <c r="D8" s="3" t="s">
        <v>186</v>
      </c>
      <c r="E8" s="275"/>
      <c r="F8" s="100" t="s">
        <v>30</v>
      </c>
      <c r="G8" s="3" t="s">
        <v>185</v>
      </c>
      <c r="H8" s="3" t="s">
        <v>186</v>
      </c>
      <c r="I8" s="11"/>
    </row>
    <row r="9" customFormat="false" ht="14.05" hidden="false" customHeight="false" outlineLevel="0" collapsed="false">
      <c r="A9" s="56" t="str">
        <f aca="false">IF('Main calculation'!$B$19=2013, "Starting year --&gt;","" )</f>
        <v/>
      </c>
      <c r="B9" s="100" t="n">
        <f aca="false">'Main calculation'!C28</f>
        <v>2015</v>
      </c>
      <c r="C9" s="276"/>
      <c r="D9" s="276"/>
      <c r="E9" s="39"/>
      <c r="F9" s="100" t="n">
        <f aca="false">'Main calculation'!C28</f>
        <v>2015</v>
      </c>
      <c r="G9" s="36"/>
      <c r="H9" s="276"/>
      <c r="I9" s="11"/>
    </row>
    <row r="10" customFormat="false" ht="14.05" hidden="false" customHeight="false" outlineLevel="0" collapsed="false">
      <c r="A10" s="56" t="str">
        <f aca="false">IF('Main calculation'!$B$19=2014, "Starting year --&gt;","" )</f>
        <v>Starting year --&gt;</v>
      </c>
      <c r="B10" s="100" t="n">
        <f aca="false">'Main calculation'!C29</f>
        <v>2016</v>
      </c>
      <c r="C10" s="276"/>
      <c r="D10" s="276"/>
      <c r="E10" s="39"/>
      <c r="F10" s="100" t="n">
        <f aca="false">'Main calculation'!C29</f>
        <v>2016</v>
      </c>
      <c r="G10" s="36"/>
      <c r="H10" s="276"/>
      <c r="I10" s="11"/>
    </row>
    <row r="11" customFormat="false" ht="14.05" hidden="false" customHeight="false" outlineLevel="0" collapsed="false">
      <c r="A11" s="56" t="str">
        <f aca="false">IF('Main calculation'!$B$19=2015, "Starting year --&gt;","" )</f>
        <v/>
      </c>
      <c r="B11" s="100" t="n">
        <f aca="false">'Main calculation'!C30</f>
        <v>2017</v>
      </c>
      <c r="C11" s="276"/>
      <c r="D11" s="276"/>
      <c r="E11" s="39"/>
      <c r="F11" s="100" t="n">
        <f aca="false">'Main calculation'!C30</f>
        <v>2017</v>
      </c>
      <c r="G11" s="36"/>
      <c r="H11" s="276"/>
      <c r="I11" s="11"/>
    </row>
    <row r="12" customFormat="false" ht="14.05" hidden="false" customHeight="false" outlineLevel="0" collapsed="false">
      <c r="A12" s="56" t="str">
        <f aca="false">IF('Main calculation'!$B$19=2016, "Starting year --&gt;","" )</f>
        <v/>
      </c>
      <c r="B12" s="100" t="n">
        <f aca="false">'Main calculation'!C31</f>
        <v>2018</v>
      </c>
      <c r="C12" s="276"/>
      <c r="D12" s="276"/>
      <c r="E12" s="39"/>
      <c r="F12" s="100" t="n">
        <f aca="false">'Main calculation'!C31</f>
        <v>2018</v>
      </c>
      <c r="G12" s="36"/>
      <c r="H12" s="276"/>
      <c r="I12" s="11"/>
    </row>
    <row r="13" customFormat="false" ht="14.05" hidden="false" customHeight="false" outlineLevel="0" collapsed="false">
      <c r="A13" s="56" t="str">
        <f aca="false">IF('Main calculation'!$B$19=2017, "Starting year --&gt;","" )</f>
        <v/>
      </c>
      <c r="B13" s="100" t="n">
        <f aca="false">'Main calculation'!C32</f>
        <v>2019</v>
      </c>
      <c r="C13" s="276"/>
      <c r="D13" s="276"/>
      <c r="E13" s="39"/>
      <c r="F13" s="100" t="n">
        <f aca="false">'Main calculation'!C32</f>
        <v>2019</v>
      </c>
      <c r="G13" s="36"/>
      <c r="H13" s="276"/>
      <c r="I13" s="11"/>
    </row>
    <row r="14" customFormat="false" ht="14.05" hidden="false" customHeight="false" outlineLevel="0" collapsed="false">
      <c r="A14" s="56" t="str">
        <f aca="false">IF('Main calculation'!$B$19=2018, "Starting year --&gt;","" )</f>
        <v/>
      </c>
      <c r="B14" s="100" t="n">
        <f aca="false">'Main calculation'!C33</f>
        <v>2020</v>
      </c>
      <c r="C14" s="276"/>
      <c r="D14" s="276"/>
      <c r="E14" s="39"/>
      <c r="F14" s="100" t="n">
        <f aca="false">'Main calculation'!C33</f>
        <v>2020</v>
      </c>
      <c r="G14" s="36"/>
      <c r="H14" s="276"/>
      <c r="I14" s="11"/>
    </row>
    <row r="15" customFormat="false" ht="14.05" hidden="false" customHeight="false" outlineLevel="0" collapsed="false">
      <c r="A15" s="56" t="str">
        <f aca="false">IF('Main calculation'!$B$19=2019, "Starting year --&gt;","" )</f>
        <v/>
      </c>
      <c r="B15" s="100" t="n">
        <f aca="false">'Main calculation'!C34</f>
        <v>2021</v>
      </c>
      <c r="C15" s="276"/>
      <c r="D15" s="276"/>
      <c r="E15" s="39"/>
      <c r="F15" s="100" t="n">
        <f aca="false">'Main calculation'!C34</f>
        <v>2021</v>
      </c>
      <c r="G15" s="36"/>
      <c r="H15" s="276"/>
      <c r="I15" s="11"/>
    </row>
    <row r="16" customFormat="false" ht="14.05" hidden="false" customHeight="false" outlineLevel="0" collapsed="false">
      <c r="A16" s="56" t="str">
        <f aca="false">IF('Main calculation'!$B$19=2020, "Starting year --&gt;","" )</f>
        <v/>
      </c>
      <c r="B16" s="100" t="n">
        <f aca="false">'Main calculation'!C35</f>
        <v>2022</v>
      </c>
      <c r="C16" s="276"/>
      <c r="D16" s="276"/>
      <c r="E16" s="39"/>
      <c r="F16" s="100" t="n">
        <f aca="false">'Main calculation'!C35</f>
        <v>2022</v>
      </c>
      <c r="G16" s="36"/>
      <c r="H16" s="276"/>
      <c r="I16" s="11"/>
    </row>
    <row r="17" customFormat="false" ht="14.05" hidden="false" customHeight="false" outlineLevel="0" collapsed="false">
      <c r="A17" s="56" t="str">
        <f aca="false">IF('Main calculation'!$B$19=2021, "Starting year --&gt;","" )</f>
        <v/>
      </c>
      <c r="B17" s="100" t="n">
        <f aca="false">'Main calculation'!C36</f>
        <v>2023</v>
      </c>
      <c r="C17" s="276"/>
      <c r="D17" s="276"/>
      <c r="E17" s="39"/>
      <c r="F17" s="100" t="n">
        <f aca="false">'Main calculation'!C36</f>
        <v>2023</v>
      </c>
      <c r="G17" s="36"/>
      <c r="H17" s="276"/>
      <c r="I17" s="11"/>
    </row>
    <row r="18" customFormat="false" ht="14.05" hidden="false" customHeight="false" outlineLevel="0" collapsed="false">
      <c r="A18" s="56" t="str">
        <f aca="false">IF('Main calculation'!$B$19=2022, "Starting year --&gt;","" )</f>
        <v/>
      </c>
      <c r="B18" s="100" t="n">
        <f aca="false">'Main calculation'!C37</f>
        <v>2024</v>
      </c>
      <c r="C18" s="276"/>
      <c r="D18" s="276"/>
      <c r="E18" s="39"/>
      <c r="F18" s="100" t="n">
        <f aca="false">'Main calculation'!C37</f>
        <v>2024</v>
      </c>
      <c r="G18" s="36"/>
      <c r="H18" s="276"/>
      <c r="I18" s="11"/>
    </row>
    <row r="19" customFormat="false" ht="14.05" hidden="false" customHeight="false" outlineLevel="0" collapsed="false">
      <c r="A19" s="56" t="str">
        <f aca="false">IF('Main calculation'!$B$19=2023, "Starting year --&gt;","" )</f>
        <v/>
      </c>
      <c r="B19" s="100" t="n">
        <f aca="false">'Main calculation'!C38</f>
        <v>2025</v>
      </c>
      <c r="C19" s="276"/>
      <c r="D19" s="276"/>
      <c r="E19" s="39"/>
      <c r="F19" s="100" t="n">
        <f aca="false">'Main calculation'!C38</f>
        <v>2025</v>
      </c>
      <c r="G19" s="36"/>
      <c r="H19" s="276"/>
      <c r="I19" s="11"/>
    </row>
    <row r="20" customFormat="false" ht="14.05" hidden="false" customHeight="false" outlineLevel="0" collapsed="false">
      <c r="A20" s="56" t="str">
        <f aca="false">IF('Main calculation'!$B$19=2024, "Starting year --&gt;","" )</f>
        <v/>
      </c>
      <c r="B20" s="100" t="n">
        <f aca="false">'Main calculation'!C39</f>
        <v>2026</v>
      </c>
      <c r="C20" s="276"/>
      <c r="D20" s="276"/>
      <c r="E20" s="39"/>
      <c r="F20" s="100" t="n">
        <f aca="false">'Main calculation'!C39</f>
        <v>2026</v>
      </c>
      <c r="G20" s="36"/>
      <c r="H20" s="276"/>
      <c r="I20" s="11"/>
    </row>
    <row r="21" customFormat="false" ht="14.05" hidden="false" customHeight="false" outlineLevel="0" collapsed="false">
      <c r="A21" s="56" t="str">
        <f aca="false">IF('Main calculation'!$B$19=2025, "Starting year --&gt;","" )</f>
        <v/>
      </c>
      <c r="B21" s="100" t="n">
        <f aca="false">'Main calculation'!C40</f>
        <v>2027</v>
      </c>
      <c r="C21" s="276"/>
      <c r="D21" s="276"/>
      <c r="E21" s="39"/>
      <c r="F21" s="100" t="n">
        <f aca="false">'Main calculation'!C40</f>
        <v>2027</v>
      </c>
      <c r="G21" s="36"/>
      <c r="H21" s="276"/>
      <c r="I21" s="11"/>
    </row>
    <row r="22" customFormat="false" ht="14.05" hidden="false" customHeight="false" outlineLevel="0" collapsed="false">
      <c r="A22" s="56" t="str">
        <f aca="false">IF('Main calculation'!$B$19=2026, "Starting year --&gt;","" )</f>
        <v/>
      </c>
      <c r="B22" s="100" t="n">
        <f aca="false">'Main calculation'!C41</f>
        <v>2028</v>
      </c>
      <c r="C22" s="276"/>
      <c r="D22" s="276"/>
      <c r="E22" s="39"/>
      <c r="F22" s="100" t="n">
        <f aca="false">'Main calculation'!C41</f>
        <v>2028</v>
      </c>
      <c r="G22" s="36"/>
      <c r="H22" s="276"/>
      <c r="I22" s="11"/>
    </row>
    <row r="23" customFormat="false" ht="14.05" hidden="false" customHeight="false" outlineLevel="0" collapsed="false">
      <c r="A23" s="56" t="str">
        <f aca="false">IF('Main calculation'!$B$19=2027, "Starting year --&gt;","" )</f>
        <v/>
      </c>
      <c r="B23" s="100" t="n">
        <f aca="false">'Main calculation'!C42</f>
        <v>2029</v>
      </c>
      <c r="C23" s="276"/>
      <c r="D23" s="276"/>
      <c r="E23" s="39"/>
      <c r="F23" s="100" t="n">
        <f aca="false">'Main calculation'!C42</f>
        <v>2029</v>
      </c>
      <c r="G23" s="36"/>
      <c r="H23" s="276"/>
      <c r="I23" s="11"/>
    </row>
    <row r="24" customFormat="false" ht="14.05" hidden="false" customHeight="false" outlineLevel="0" collapsed="false">
      <c r="A24" s="56" t="str">
        <f aca="false">IF('Main calculation'!$B$20=2028, "Finishing year --&gt;","" )</f>
        <v>Finishing year --&gt;</v>
      </c>
      <c r="B24" s="100" t="n">
        <f aca="false">'Main calculation'!C43</f>
        <v>2030</v>
      </c>
      <c r="C24" s="276"/>
      <c r="D24" s="276"/>
      <c r="E24" s="39"/>
      <c r="F24" s="100" t="n">
        <f aca="false">'Main calculation'!C43</f>
        <v>2030</v>
      </c>
      <c r="G24" s="36"/>
      <c r="H24" s="276"/>
      <c r="I24" s="11"/>
    </row>
    <row r="25" customFormat="false" ht="14.05" hidden="false" customHeight="false" outlineLevel="0" collapsed="false">
      <c r="A25" s="56" t="str">
        <f aca="false">IF('Main calculation'!$B$20=2029, "Finishing year --&gt;","" )</f>
        <v/>
      </c>
    </row>
    <row r="26" customFormat="false" ht="14.05" hidden="false" customHeight="false" outlineLevel="0" collapsed="false">
      <c r="A26" s="56" t="str">
        <f aca="false">IF('Main calculation'!$B$20=2030, "Finishing year --&gt;","" )</f>
        <v/>
      </c>
    </row>
    <row r="27" customFormat="false" ht="14.05" hidden="false" customHeight="false" outlineLevel="0" collapsed="false">
      <c r="A27" s="56" t="str">
        <f aca="false">IF('Main calculation'!$B$20=2031, "Finishing year --&gt;","" )</f>
        <v/>
      </c>
    </row>
    <row r="28" customFormat="false" ht="14.05" hidden="false" customHeight="false" outlineLevel="0" collapsed="false">
      <c r="A28" s="56" t="str">
        <f aca="false">IF('Main calculation'!$B$20=2032, "Finishing year --&gt;","" )</f>
        <v/>
      </c>
    </row>
    <row r="29" customFormat="false" ht="14.05" hidden="false" customHeight="false" outlineLevel="0" collapsed="false">
      <c r="A29" s="56" t="str">
        <f aca="false">IF('Main calculation'!$B$20=2033, "Finishing year --&gt;","" )</f>
        <v/>
      </c>
    </row>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sheetPr filterMode="false">
    <pageSetUpPr fitToPage="false"/>
  </sheetPr>
  <dimension ref="A1:U75"/>
  <sheetViews>
    <sheetView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4.05" zeroHeight="false" outlineLevelRow="0" outlineLevelCol="0"/>
  <cols>
    <col collapsed="false" customWidth="true" hidden="false" outlineLevel="0" max="1" min="1" style="1" width="15.96"/>
    <col collapsed="false" customWidth="true" hidden="false" outlineLevel="0" max="2" min="2" style="1" width="27.81"/>
    <col collapsed="false" customWidth="true" hidden="false" outlineLevel="0" max="3" min="3" style="1" width="11.06"/>
    <col collapsed="false" customWidth="true" hidden="false" outlineLevel="0" max="6" min="4" style="1" width="10.61"/>
    <col collapsed="false" customWidth="true" hidden="false" outlineLevel="0" max="7" min="7" style="1" width="12.39"/>
    <col collapsed="false" customWidth="true" hidden="false" outlineLevel="0" max="8" min="8" style="1" width="8.71"/>
    <col collapsed="false" customWidth="true" hidden="false" outlineLevel="0" max="9" min="9" style="1" width="26.47"/>
    <col collapsed="false" customWidth="true" hidden="false" outlineLevel="0" max="1025" min="10" style="1" width="8.71"/>
  </cols>
  <sheetData>
    <row r="1" customFormat="false" ht="17.65" hidden="false" customHeight="false" outlineLevel="0" collapsed="false">
      <c r="A1" s="82" t="s">
        <v>187</v>
      </c>
    </row>
    <row r="2" customFormat="false" ht="34.5" hidden="false" customHeight="true" outlineLevel="0" collapsed="false">
      <c r="A2" s="277" t="s">
        <v>188</v>
      </c>
      <c r="B2" s="277"/>
      <c r="C2" s="277"/>
      <c r="D2" s="277"/>
      <c r="E2" s="277"/>
      <c r="F2" s="277"/>
      <c r="G2" s="277"/>
      <c r="H2" s="277"/>
      <c r="I2" s="277"/>
      <c r="J2" s="277"/>
    </row>
    <row r="4" customFormat="false" ht="14.05" hidden="false" customHeight="false" outlineLevel="0" collapsed="false">
      <c r="C4" s="1" t="s">
        <v>14</v>
      </c>
      <c r="D4" s="1" t="s">
        <v>15</v>
      </c>
      <c r="E4" s="1" t="s">
        <v>189</v>
      </c>
      <c r="F4" s="1" t="s">
        <v>190</v>
      </c>
      <c r="G4" s="1" t="s">
        <v>191</v>
      </c>
      <c r="K4" s="1" t="s">
        <v>15</v>
      </c>
      <c r="L4" s="1" t="s">
        <v>189</v>
      </c>
      <c r="M4" s="1" t="s">
        <v>190</v>
      </c>
      <c r="N4" s="1" t="s">
        <v>191</v>
      </c>
      <c r="R4" s="1" t="s">
        <v>15</v>
      </c>
      <c r="S4" s="1" t="s">
        <v>189</v>
      </c>
      <c r="T4" s="1" t="s">
        <v>190</v>
      </c>
      <c r="U4" s="1" t="s">
        <v>191</v>
      </c>
    </row>
    <row r="5" customFormat="false" ht="14.05" hidden="false" customHeight="false" outlineLevel="0" collapsed="false">
      <c r="A5" s="11" t="s">
        <v>25</v>
      </c>
      <c r="B5" s="278"/>
      <c r="C5" s="279" t="s">
        <v>192</v>
      </c>
      <c r="D5" s="280"/>
      <c r="E5" s="280"/>
      <c r="F5" s="280"/>
      <c r="G5" s="281"/>
      <c r="I5" s="278"/>
      <c r="J5" s="282" t="s">
        <v>193</v>
      </c>
      <c r="K5" s="283" t="s">
        <v>194</v>
      </c>
      <c r="L5" s="283" t="s">
        <v>195</v>
      </c>
      <c r="M5" s="283" t="s">
        <v>196</v>
      </c>
      <c r="N5" s="284" t="s">
        <v>197</v>
      </c>
      <c r="P5" s="278"/>
      <c r="Q5" s="282" t="s">
        <v>193</v>
      </c>
      <c r="R5" s="283" t="s">
        <v>194</v>
      </c>
      <c r="S5" s="283" t="s">
        <v>195</v>
      </c>
      <c r="T5" s="283" t="s">
        <v>196</v>
      </c>
      <c r="U5" s="284" t="s">
        <v>197</v>
      </c>
    </row>
    <row r="6" customFormat="false" ht="14.05" hidden="false" customHeight="false" outlineLevel="0" collapsed="false">
      <c r="A6" s="285" t="n">
        <v>0.03</v>
      </c>
      <c r="B6" s="286"/>
      <c r="C6" s="287" t="s">
        <v>198</v>
      </c>
      <c r="D6" s="287" t="s">
        <v>194</v>
      </c>
      <c r="E6" s="287" t="s">
        <v>195</v>
      </c>
      <c r="F6" s="287" t="s">
        <v>196</v>
      </c>
      <c r="G6" s="288" t="s">
        <v>197</v>
      </c>
      <c r="I6" s="289" t="s">
        <v>199</v>
      </c>
      <c r="J6" s="290" t="n">
        <v>110</v>
      </c>
      <c r="K6" s="290" t="n">
        <v>122</v>
      </c>
      <c r="L6" s="290" t="n">
        <v>97</v>
      </c>
      <c r="M6" s="290" t="n">
        <v>66</v>
      </c>
      <c r="N6" s="291" t="n">
        <v>61</v>
      </c>
      <c r="O6" s="292"/>
      <c r="P6" s="289" t="s">
        <v>199</v>
      </c>
      <c r="Q6" s="290" t="n">
        <v>149</v>
      </c>
      <c r="R6" s="290" t="n">
        <v>122</v>
      </c>
      <c r="S6" s="290" t="n">
        <v>97</v>
      </c>
      <c r="T6" s="290" t="n">
        <v>66</v>
      </c>
      <c r="U6" s="291" t="n">
        <v>61</v>
      </c>
    </row>
    <row r="7" customFormat="false" ht="14.05" hidden="false" customHeight="false" outlineLevel="0" collapsed="false">
      <c r="B7" s="293" t="s">
        <v>200</v>
      </c>
      <c r="C7" s="294" t="n">
        <v>1</v>
      </c>
      <c r="D7" s="295" t="n">
        <v>0.116801962273</v>
      </c>
      <c r="E7" s="295" t="n">
        <v>0.116801962273</v>
      </c>
      <c r="F7" s="295" t="n">
        <v>0.47665712784</v>
      </c>
      <c r="G7" s="296" t="n">
        <v>0.881854815161</v>
      </c>
      <c r="H7" s="297" t="s">
        <v>201</v>
      </c>
      <c r="I7" s="286" t="s">
        <v>200</v>
      </c>
      <c r="J7" s="298" t="n">
        <v>1</v>
      </c>
      <c r="K7" s="299" t="n">
        <v>1.19047619048</v>
      </c>
      <c r="L7" s="299" t="n">
        <v>1.19047619048</v>
      </c>
      <c r="M7" s="299" t="n">
        <v>5.03333333333</v>
      </c>
      <c r="N7" s="300" t="n">
        <v>9.06583333333</v>
      </c>
      <c r="O7" s="292"/>
      <c r="P7" s="286" t="s">
        <v>200</v>
      </c>
      <c r="Q7" s="298" t="n">
        <v>1</v>
      </c>
      <c r="R7" s="299" t="n">
        <v>1.19047619048</v>
      </c>
      <c r="S7" s="299" t="n">
        <v>1.19047619048</v>
      </c>
      <c r="T7" s="299" t="n">
        <v>5.03333333333</v>
      </c>
      <c r="U7" s="300" t="n">
        <v>9.06583333333</v>
      </c>
    </row>
    <row r="8" customFormat="false" ht="14.05" hidden="false" customHeight="false" outlineLevel="0" collapsed="false">
      <c r="B8" s="286" t="s">
        <v>202</v>
      </c>
      <c r="C8" s="287" t="n">
        <v>1</v>
      </c>
      <c r="D8" s="252" t="n">
        <v>0.952755905511811</v>
      </c>
      <c r="E8" s="252" t="n">
        <v>0.771653543307087</v>
      </c>
      <c r="F8" s="252" t="n">
        <v>0.503937007874016</v>
      </c>
      <c r="G8" s="301" t="n">
        <v>0.480314960629921</v>
      </c>
      <c r="H8" s="297" t="s">
        <v>203</v>
      </c>
      <c r="I8" s="286" t="s">
        <v>202</v>
      </c>
      <c r="J8" s="298" t="n">
        <v>1</v>
      </c>
      <c r="K8" s="299" t="n">
        <f aca="false">K6/$J$6</f>
        <v>1.10909090909091</v>
      </c>
      <c r="L8" s="299" t="n">
        <f aca="false">L6/$J$6</f>
        <v>0.881818181818182</v>
      </c>
      <c r="M8" s="299" t="n">
        <f aca="false">M6/$J$6</f>
        <v>0.6</v>
      </c>
      <c r="N8" s="300" t="n">
        <f aca="false">N6/$J$6</f>
        <v>0.554545454545455</v>
      </c>
      <c r="O8" s="292"/>
      <c r="P8" s="286" t="s">
        <v>202</v>
      </c>
      <c r="Q8" s="298" t="n">
        <v>1</v>
      </c>
      <c r="R8" s="299" t="n">
        <f aca="false">R6/$Q$6</f>
        <v>0.818791946308725</v>
      </c>
      <c r="S8" s="299" t="n">
        <f aca="false">S6/$Q$6</f>
        <v>0.651006711409396</v>
      </c>
      <c r="T8" s="299" t="n">
        <f aca="false">T6/$Q$6</f>
        <v>0.442953020134228</v>
      </c>
      <c r="U8" s="299" t="n">
        <f aca="false">U6/$Q$6</f>
        <v>0.409395973154362</v>
      </c>
    </row>
    <row r="9" customFormat="false" ht="14.05" hidden="false" customHeight="false" outlineLevel="0" collapsed="false">
      <c r="A9" s="302"/>
      <c r="B9" s="303" t="s">
        <v>204</v>
      </c>
      <c r="C9" s="304" t="n">
        <v>1</v>
      </c>
      <c r="D9" s="305" t="n">
        <f aca="false">D7*D8</f>
        <v>0.111283759330969</v>
      </c>
      <c r="E9" s="305" t="n">
        <f aca="false">E7*E8</f>
        <v>0.0901306480531811</v>
      </c>
      <c r="F9" s="305" t="n">
        <f aca="false">F7*F8</f>
        <v>0.240205166785512</v>
      </c>
      <c r="G9" s="306" t="n">
        <f aca="false">G7*G8</f>
        <v>0.423568060825362</v>
      </c>
      <c r="I9" s="303" t="s">
        <v>204</v>
      </c>
      <c r="J9" s="307" t="n">
        <v>1</v>
      </c>
      <c r="K9" s="307" t="n">
        <f aca="false">K8*K7</f>
        <v>1.32034632035055</v>
      </c>
      <c r="L9" s="307" t="n">
        <f aca="false">L8*L7</f>
        <v>1.04978354978691</v>
      </c>
      <c r="M9" s="307" t="n">
        <f aca="false">M8*M7</f>
        <v>3.019999999998</v>
      </c>
      <c r="N9" s="308" t="n">
        <f aca="false">N8*N7</f>
        <v>5.02741666666482</v>
      </c>
      <c r="O9" s="292"/>
      <c r="P9" s="303" t="s">
        <v>204</v>
      </c>
      <c r="Q9" s="307" t="n">
        <v>1</v>
      </c>
      <c r="R9" s="307" t="n">
        <f aca="false">R8*R7</f>
        <v>0.974752317037316</v>
      </c>
      <c r="S9" s="307" t="n">
        <f aca="false">S8*S7</f>
        <v>0.775007989775571</v>
      </c>
      <c r="T9" s="307" t="n">
        <f aca="false">T8*T7</f>
        <v>2.22953020134081</v>
      </c>
      <c r="U9" s="308" t="n">
        <f aca="false">U8*U7</f>
        <v>3.71151565995389</v>
      </c>
    </row>
    <row r="11" customFormat="false" ht="14.05" hidden="false" customHeight="false" outlineLevel="0" collapsed="false">
      <c r="A11" s="309" t="s">
        <v>205</v>
      </c>
      <c r="B11" s="310" t="s">
        <v>206</v>
      </c>
      <c r="C11" s="311" t="s">
        <v>207</v>
      </c>
      <c r="I11" s="312" t="s">
        <v>68</v>
      </c>
      <c r="J11" s="313" t="s">
        <v>193</v>
      </c>
      <c r="K11" s="314" t="s">
        <v>194</v>
      </c>
      <c r="L11" s="314" t="s">
        <v>195</v>
      </c>
      <c r="M11" s="314" t="s">
        <v>196</v>
      </c>
      <c r="N11" s="315" t="s">
        <v>197</v>
      </c>
      <c r="O11" s="1" t="s">
        <v>208</v>
      </c>
    </row>
    <row r="12" customFormat="false" ht="14.05" hidden="false" customHeight="false" outlineLevel="0" collapsed="false">
      <c r="A12" s="316"/>
      <c r="B12" s="317" t="s">
        <v>209</v>
      </c>
      <c r="C12" s="318" t="n">
        <v>10</v>
      </c>
      <c r="I12" s="252" t="s">
        <v>210</v>
      </c>
      <c r="J12" s="319" t="n">
        <v>69000</v>
      </c>
      <c r="K12" s="320" t="n">
        <f aca="false">$J12*K$9</f>
        <v>91103.8961041876</v>
      </c>
      <c r="L12" s="320" t="n">
        <f aca="false">$J12*L9</f>
        <v>72435.0649352968</v>
      </c>
      <c r="M12" s="320" t="n">
        <f aca="false">$J12*M9</f>
        <v>208379.999999862</v>
      </c>
      <c r="N12" s="320" t="n">
        <f aca="false">$J12*N9</f>
        <v>346891.749999872</v>
      </c>
      <c r="O12" s="1" t="s">
        <v>211</v>
      </c>
    </row>
    <row r="13" customFormat="false" ht="14.05" hidden="false" customHeight="false" outlineLevel="0" collapsed="false">
      <c r="A13" s="316"/>
      <c r="B13" s="252" t="s">
        <v>212</v>
      </c>
      <c r="C13" s="321" t="n">
        <v>15</v>
      </c>
      <c r="I13" s="322" t="s">
        <v>213</v>
      </c>
      <c r="J13" s="323" t="n">
        <v>0.038</v>
      </c>
      <c r="K13" s="201" t="n">
        <f aca="false">$J13*K$9</f>
        <v>0.0501731601733207</v>
      </c>
      <c r="L13" s="201" t="n">
        <f aca="false">$J13*L$9</f>
        <v>0.0398917748919025</v>
      </c>
      <c r="M13" s="201" t="n">
        <f aca="false">$J13*M$9</f>
        <v>0.114759999999924</v>
      </c>
      <c r="N13" s="201" t="n">
        <f aca="false">$J13*N$9</f>
        <v>0.191041833333263</v>
      </c>
      <c r="O13" s="297" t="s">
        <v>214</v>
      </c>
      <c r="P13" s="1" t="s">
        <v>215</v>
      </c>
    </row>
    <row r="14" customFormat="false" ht="14.05" hidden="false" customHeight="false" outlineLevel="0" collapsed="false">
      <c r="A14" s="316"/>
      <c r="B14" s="252" t="s">
        <v>216</v>
      </c>
      <c r="C14" s="321" t="n">
        <v>20</v>
      </c>
      <c r="I14" s="324" t="s">
        <v>161</v>
      </c>
      <c r="J14" s="323" t="n">
        <v>0.004</v>
      </c>
      <c r="K14" s="201" t="n">
        <f aca="false">$J14*K$9</f>
        <v>0.00528138528140218</v>
      </c>
      <c r="L14" s="201" t="n">
        <f aca="false">$J14*L$9</f>
        <v>0.00419913419914764</v>
      </c>
      <c r="M14" s="201" t="n">
        <f aca="false">$J14*M$9</f>
        <v>0.012079999999992</v>
      </c>
      <c r="N14" s="201" t="n">
        <f aca="false">$J14*N$9</f>
        <v>0.0201096666666593</v>
      </c>
      <c r="O14" s="297" t="s">
        <v>217</v>
      </c>
      <c r="P14" s="1" t="s">
        <v>218</v>
      </c>
    </row>
    <row r="15" customFormat="false" ht="14.05" hidden="false" customHeight="false" outlineLevel="0" collapsed="false">
      <c r="A15" s="325"/>
      <c r="B15" s="305" t="s">
        <v>219</v>
      </c>
      <c r="C15" s="326" t="n">
        <v>40</v>
      </c>
      <c r="I15" s="322" t="s">
        <v>220</v>
      </c>
      <c r="J15" s="323" t="n">
        <v>0.265</v>
      </c>
      <c r="K15" s="201" t="n">
        <f aca="false">$J15*K$9</f>
        <v>0.349891774892895</v>
      </c>
      <c r="L15" s="201" t="n">
        <f aca="false">$J15*L$9</f>
        <v>0.278192640693531</v>
      </c>
      <c r="M15" s="201" t="n">
        <f aca="false">$J15*M$9</f>
        <v>0.80029999999947</v>
      </c>
      <c r="N15" s="201" t="n">
        <f aca="false">$J15*N$9</f>
        <v>1.33226541666618</v>
      </c>
      <c r="O15" s="297" t="s">
        <v>221</v>
      </c>
      <c r="P15" s="1" t="s">
        <v>222</v>
      </c>
    </row>
    <row r="16" customFormat="false" ht="14.05" hidden="false" customHeight="false" outlineLevel="0" collapsed="false">
      <c r="C16" s="166"/>
      <c r="I16" s="327"/>
      <c r="J16" s="328" t="s">
        <v>223</v>
      </c>
      <c r="K16" s="329" t="s">
        <v>194</v>
      </c>
      <c r="L16" s="329" t="s">
        <v>195</v>
      </c>
      <c r="M16" s="329" t="s">
        <v>196</v>
      </c>
      <c r="N16" s="329" t="s">
        <v>197</v>
      </c>
    </row>
    <row r="17" customFormat="false" ht="14.05" hidden="false" customHeight="false" outlineLevel="0" collapsed="false">
      <c r="A17" s="309" t="s">
        <v>69</v>
      </c>
      <c r="B17" s="310" t="s">
        <v>206</v>
      </c>
      <c r="C17" s="330" t="s">
        <v>224</v>
      </c>
      <c r="D17" s="331" t="s">
        <v>225</v>
      </c>
      <c r="E17" s="331" t="s">
        <v>226</v>
      </c>
      <c r="F17" s="331" t="s">
        <v>227</v>
      </c>
      <c r="G17" s="332" t="s">
        <v>228</v>
      </c>
      <c r="I17" s="333" t="s">
        <v>229</v>
      </c>
      <c r="J17" s="334" t="n">
        <f aca="false">0.129/1.61</f>
        <v>0.0801242236024845</v>
      </c>
      <c r="K17" s="335" t="n">
        <f aca="false">J17*R9</f>
        <v>0.0781012726073377</v>
      </c>
      <c r="L17" s="335" t="n">
        <f aca="false">K17*S9</f>
        <v>0.0605291102823266</v>
      </c>
      <c r="M17" s="335" t="n">
        <f aca="false">L17*T9</f>
        <v>0.134951479434736</v>
      </c>
      <c r="N17" s="335" t="n">
        <f aca="false">M17*U9</f>
        <v>0.500874529255967</v>
      </c>
      <c r="O17" s="297" t="s">
        <v>230</v>
      </c>
      <c r="P17" s="1" t="s">
        <v>231</v>
      </c>
    </row>
    <row r="18" customFormat="false" ht="14.05" hidden="false" customHeight="false" outlineLevel="0" collapsed="false">
      <c r="A18" s="316"/>
      <c r="B18" s="317" t="s">
        <v>232</v>
      </c>
      <c r="C18" s="336" t="n">
        <v>108</v>
      </c>
      <c r="D18" s="337" t="n">
        <f aca="false">$C18*D$9</f>
        <v>12.0186460077446</v>
      </c>
      <c r="E18" s="337" t="n">
        <f aca="false">$C18*E$9</f>
        <v>9.73410998974356</v>
      </c>
      <c r="F18" s="337" t="n">
        <f aca="false">$C18*F$9</f>
        <v>25.9421580128353</v>
      </c>
      <c r="G18" s="338" t="n">
        <f aca="false">$C18*G$9</f>
        <v>45.7453505691391</v>
      </c>
    </row>
    <row r="19" customFormat="false" ht="14.05" hidden="false" customHeight="false" outlineLevel="0" collapsed="false">
      <c r="A19" s="316"/>
      <c r="B19" s="252" t="s">
        <v>233</v>
      </c>
      <c r="C19" s="339" t="n">
        <v>40</v>
      </c>
      <c r="D19" s="337" t="n">
        <f aca="false">$C19*D$9</f>
        <v>4.45135037323874</v>
      </c>
      <c r="E19" s="337" t="n">
        <f aca="false">$C19*E$9</f>
        <v>3.60522592212725</v>
      </c>
      <c r="F19" s="337" t="n">
        <f aca="false">$C19*F$9</f>
        <v>9.60820667142047</v>
      </c>
      <c r="G19" s="338" t="n">
        <f aca="false">$C19*G$9</f>
        <v>16.9427224330145</v>
      </c>
      <c r="I19" s="340"/>
      <c r="J19" s="341" t="s">
        <v>234</v>
      </c>
      <c r="K19" s="341" t="s">
        <v>235</v>
      </c>
      <c r="L19" s="341" t="s">
        <v>236</v>
      </c>
      <c r="M19" s="341"/>
      <c r="N19" s="342"/>
    </row>
    <row r="20" customFormat="false" ht="14.05" hidden="false" customHeight="false" outlineLevel="0" collapsed="false">
      <c r="A20" s="316"/>
      <c r="B20" s="252" t="s">
        <v>237</v>
      </c>
      <c r="C20" s="339" t="n">
        <v>20</v>
      </c>
      <c r="D20" s="337" t="n">
        <f aca="false">$C20*D$9</f>
        <v>2.22567518661937</v>
      </c>
      <c r="E20" s="337" t="n">
        <f aca="false">$C20*E$9</f>
        <v>1.80261296106362</v>
      </c>
      <c r="F20" s="337" t="n">
        <f aca="false">$C20*F$9</f>
        <v>4.80410333571024</v>
      </c>
      <c r="G20" s="338" t="n">
        <f aca="false">$C20*G$9</f>
        <v>8.47136121650724</v>
      </c>
      <c r="I20" s="343" t="s">
        <v>238</v>
      </c>
      <c r="J20" s="344" t="n">
        <v>176</v>
      </c>
      <c r="K20" s="345" t="n">
        <f aca="false">L20/L$24</f>
        <v>0.0152284263959391</v>
      </c>
      <c r="L20" s="346" t="n">
        <v>1.2</v>
      </c>
      <c r="M20" s="346"/>
      <c r="N20" s="347"/>
    </row>
    <row r="21" customFormat="false" ht="14.05" hidden="false" customHeight="false" outlineLevel="0" collapsed="false">
      <c r="A21" s="316"/>
      <c r="B21" s="252" t="s">
        <v>239</v>
      </c>
      <c r="C21" s="339" t="n">
        <v>80</v>
      </c>
      <c r="D21" s="337" t="n">
        <f aca="false">$C21*D$9</f>
        <v>8.90270074647748</v>
      </c>
      <c r="E21" s="337" t="n">
        <f aca="false">$C21*E$9</f>
        <v>7.21045184425449</v>
      </c>
      <c r="F21" s="337" t="n">
        <f aca="false">$C21*F$9</f>
        <v>19.2164133428409</v>
      </c>
      <c r="G21" s="338" t="n">
        <f aca="false">$C21*G$9</f>
        <v>33.885444866029</v>
      </c>
      <c r="I21" s="343" t="s">
        <v>240</v>
      </c>
      <c r="J21" s="344" t="n">
        <v>27</v>
      </c>
      <c r="K21" s="345" t="n">
        <f aca="false">L21/L$24</f>
        <v>0.82994923857868</v>
      </c>
      <c r="L21" s="346" t="n">
        <v>65.4</v>
      </c>
      <c r="M21" s="346"/>
      <c r="N21" s="347"/>
    </row>
    <row r="22" customFormat="false" ht="14.05" hidden="false" customHeight="false" outlineLevel="0" collapsed="false">
      <c r="A22" s="316"/>
      <c r="B22" s="252" t="s">
        <v>241</v>
      </c>
      <c r="C22" s="339" t="n">
        <v>150</v>
      </c>
      <c r="D22" s="337" t="n">
        <f aca="false">$C22*D$9</f>
        <v>16.6925638996453</v>
      </c>
      <c r="E22" s="337" t="n">
        <f aca="false">$C22*E$9</f>
        <v>13.5195972079772</v>
      </c>
      <c r="F22" s="337" t="n">
        <f aca="false">$C22*F$9</f>
        <v>36.0307750178268</v>
      </c>
      <c r="G22" s="338" t="n">
        <f aca="false">$C22*G$9</f>
        <v>63.5352091238043</v>
      </c>
      <c r="I22" s="343" t="s">
        <v>242</v>
      </c>
      <c r="J22" s="344" t="n">
        <f aca="false">J29</f>
        <v>65.2708333333333</v>
      </c>
      <c r="K22" s="345" t="n">
        <f aca="false">L22/L$24</f>
        <v>0.121827411167513</v>
      </c>
      <c r="L22" s="346" t="n">
        <v>9.6</v>
      </c>
      <c r="M22" s="346"/>
      <c r="N22" s="347"/>
    </row>
    <row r="23" customFormat="false" ht="14.05" hidden="false" customHeight="false" outlineLevel="0" collapsed="false">
      <c r="A23" s="316"/>
      <c r="B23" s="252" t="s">
        <v>243</v>
      </c>
      <c r="C23" s="339" t="n">
        <v>120</v>
      </c>
      <c r="D23" s="337" t="n">
        <f aca="false">$C23*D$9</f>
        <v>13.3540511197162</v>
      </c>
      <c r="E23" s="337" t="n">
        <f aca="false">$C23*E$9</f>
        <v>10.8156777663817</v>
      </c>
      <c r="F23" s="337" t="n">
        <f aca="false">$C23*F$9</f>
        <v>28.8246200142614</v>
      </c>
      <c r="G23" s="338" t="n">
        <f aca="false">$C23*G$9</f>
        <v>50.8281672990435</v>
      </c>
      <c r="I23" s="343" t="s">
        <v>244</v>
      </c>
      <c r="J23" s="344" t="n">
        <f aca="false">K29</f>
        <v>138.7125</v>
      </c>
      <c r="K23" s="345" t="n">
        <f aca="false">L23/L$24</f>
        <v>0.032994923857868</v>
      </c>
      <c r="L23" s="346" t="n">
        <v>2.6</v>
      </c>
      <c r="M23" s="346"/>
      <c r="N23" s="347"/>
    </row>
    <row r="24" customFormat="false" ht="16.5" hidden="false" customHeight="true" outlineLevel="0" collapsed="false">
      <c r="A24" s="316"/>
      <c r="B24" s="252" t="s">
        <v>245</v>
      </c>
      <c r="C24" s="339" t="n">
        <v>51</v>
      </c>
      <c r="D24" s="337" t="n">
        <f aca="false">$C24*D$9</f>
        <v>5.6754717258794</v>
      </c>
      <c r="E24" s="337" t="n">
        <f aca="false">$C24*E$9</f>
        <v>4.59666305071224</v>
      </c>
      <c r="F24" s="337" t="n">
        <f aca="false">$C24*F$9</f>
        <v>12.2504635060611</v>
      </c>
      <c r="G24" s="338" t="n">
        <f aca="false">$C24*G$9</f>
        <v>21.6019711020935</v>
      </c>
      <c r="I24" s="348" t="s">
        <v>246</v>
      </c>
      <c r="J24" s="349" t="n">
        <f aca="false">J20*K20+J21*K21+J22*K22+J23*K23</f>
        <v>37.6174175126904</v>
      </c>
      <c r="K24" s="346"/>
      <c r="L24" s="346" t="n">
        <f aca="false">SUM(L20:L23)</f>
        <v>78.8</v>
      </c>
      <c r="M24" s="346"/>
      <c r="N24" s="347"/>
    </row>
    <row r="25" customFormat="false" ht="16.5" hidden="false" customHeight="true" outlineLevel="0" collapsed="false">
      <c r="A25" s="325"/>
      <c r="B25" s="305" t="s">
        <v>247</v>
      </c>
      <c r="C25" s="350" t="n">
        <v>102</v>
      </c>
      <c r="D25" s="351" t="n">
        <f aca="false">$C25*D$9</f>
        <v>11.3509434517588</v>
      </c>
      <c r="E25" s="351" t="n">
        <f aca="false">$C25*E$9</f>
        <v>9.19332610142448</v>
      </c>
      <c r="F25" s="351" t="n">
        <f aca="false">$C25*F$9</f>
        <v>24.5009270121222</v>
      </c>
      <c r="G25" s="352" t="n">
        <f aca="false">$C25*G$9</f>
        <v>43.2039422041869</v>
      </c>
      <c r="I25" s="353" t="s">
        <v>248</v>
      </c>
      <c r="J25" s="346" t="s">
        <v>249</v>
      </c>
      <c r="K25" s="346" t="s">
        <v>250</v>
      </c>
      <c r="L25" s="346"/>
      <c r="M25" s="346"/>
      <c r="N25" s="347"/>
    </row>
    <row r="26" customFormat="false" ht="14.05" hidden="false" customHeight="false" outlineLevel="0" collapsed="false">
      <c r="C26" s="166"/>
      <c r="I26" s="343" t="s">
        <v>251</v>
      </c>
      <c r="J26" s="354" t="n">
        <v>300</v>
      </c>
      <c r="K26" s="354" t="n">
        <v>500</v>
      </c>
      <c r="L26" s="346"/>
      <c r="M26" s="346"/>
      <c r="N26" s="347"/>
    </row>
    <row r="27" customFormat="false" ht="14.05" hidden="false" customHeight="false" outlineLevel="0" collapsed="false">
      <c r="A27" s="309" t="s">
        <v>252</v>
      </c>
      <c r="B27" s="310" t="s">
        <v>206</v>
      </c>
      <c r="C27" s="355" t="s">
        <v>198</v>
      </c>
      <c r="D27" s="331" t="s">
        <v>194</v>
      </c>
      <c r="E27" s="331" t="s">
        <v>195</v>
      </c>
      <c r="F27" s="355" t="s">
        <v>196</v>
      </c>
      <c r="G27" s="311" t="s">
        <v>197</v>
      </c>
      <c r="I27" s="343" t="s">
        <v>253</v>
      </c>
      <c r="J27" s="354" t="n">
        <v>43.1</v>
      </c>
      <c r="K27" s="354" t="n">
        <v>79</v>
      </c>
      <c r="L27" s="346"/>
      <c r="M27" s="346"/>
      <c r="N27" s="347"/>
    </row>
    <row r="28" customFormat="false" ht="14.05" hidden="false" customHeight="false" outlineLevel="0" collapsed="false">
      <c r="A28" s="316"/>
      <c r="B28" s="317" t="s">
        <v>254</v>
      </c>
      <c r="C28" s="356" t="n">
        <v>23700000</v>
      </c>
      <c r="D28" s="357" t="n">
        <f aca="false">$C28*D$9</f>
        <v>2637425.09614395</v>
      </c>
      <c r="E28" s="357" t="n">
        <f aca="false">$C28*E$9</f>
        <v>2136096.35886039</v>
      </c>
      <c r="F28" s="357" t="n">
        <f aca="false">$C28*F$9</f>
        <v>5692862.45281663</v>
      </c>
      <c r="G28" s="358" t="n">
        <f aca="false">$C28*G$9</f>
        <v>10038563.0415611</v>
      </c>
      <c r="I28" s="343" t="s">
        <v>255</v>
      </c>
      <c r="J28" s="354" t="n">
        <v>18400</v>
      </c>
      <c r="K28" s="354" t="n">
        <v>71470</v>
      </c>
      <c r="L28" s="346"/>
      <c r="M28" s="346"/>
      <c r="N28" s="347"/>
    </row>
    <row r="29" customFormat="false" ht="14.05" hidden="false" customHeight="false" outlineLevel="0" collapsed="false">
      <c r="A29" s="316"/>
      <c r="B29" s="252" t="s">
        <v>256</v>
      </c>
      <c r="C29" s="359" t="n">
        <v>4400000</v>
      </c>
      <c r="D29" s="357" t="n">
        <f aca="false">$C29*D$9</f>
        <v>489648.541056262</v>
      </c>
      <c r="E29" s="357" t="n">
        <f aca="false">$C29*E$9</f>
        <v>396574.851433997</v>
      </c>
      <c r="F29" s="357" t="n">
        <f aca="false">$C29*F$9</f>
        <v>1056902.73385625</v>
      </c>
      <c r="G29" s="358" t="n">
        <f aca="false">$C29*G$9</f>
        <v>1863699.46763159</v>
      </c>
      <c r="I29" s="343" t="s">
        <v>257</v>
      </c>
      <c r="J29" s="354" t="n">
        <f aca="false">(J27+(J28/J26))/1.6</f>
        <v>65.2708333333333</v>
      </c>
      <c r="K29" s="354" t="n">
        <f aca="false">(K27+(K28/K26))/1.6</f>
        <v>138.7125</v>
      </c>
      <c r="L29" s="346"/>
      <c r="M29" s="346"/>
      <c r="N29" s="347"/>
    </row>
    <row r="30" customFormat="false" ht="15.75" hidden="false" customHeight="true" outlineLevel="0" collapsed="false">
      <c r="A30" s="316"/>
      <c r="B30" s="252" t="s">
        <v>258</v>
      </c>
      <c r="C30" s="359" t="n">
        <v>200000</v>
      </c>
      <c r="D30" s="357" t="n">
        <f aca="false">$C30*D$9</f>
        <v>22256.7518661937</v>
      </c>
      <c r="E30" s="357" t="n">
        <f aca="false">$C30*E$9</f>
        <v>18026.1296106362</v>
      </c>
      <c r="F30" s="357" t="n">
        <f aca="false">$C30*F$9</f>
        <v>48041.0333571024</v>
      </c>
      <c r="G30" s="358" t="n">
        <f aca="false">$C30*G$9</f>
        <v>84713.6121650724</v>
      </c>
      <c r="I30" s="360" t="s">
        <v>68</v>
      </c>
      <c r="J30" s="361" t="s">
        <v>193</v>
      </c>
      <c r="K30" s="362" t="s">
        <v>194</v>
      </c>
      <c r="L30" s="362" t="s">
        <v>195</v>
      </c>
      <c r="M30" s="362" t="s">
        <v>196</v>
      </c>
      <c r="N30" s="363" t="s">
        <v>197</v>
      </c>
    </row>
    <row r="31" customFormat="false" ht="15.75" hidden="false" customHeight="true" outlineLevel="0" collapsed="false">
      <c r="A31" s="316"/>
      <c r="B31" s="252" t="s">
        <v>259</v>
      </c>
      <c r="C31" s="359" t="n">
        <v>15000</v>
      </c>
      <c r="D31" s="357" t="n">
        <f aca="false">$C31*D$9</f>
        <v>1669.25638996453</v>
      </c>
      <c r="E31" s="357" t="n">
        <f aca="false">$C31*E$9</f>
        <v>1351.95972079772</v>
      </c>
      <c r="F31" s="357" t="n">
        <f aca="false">$C31*F$9</f>
        <v>3603.07750178268</v>
      </c>
      <c r="G31" s="358" t="n">
        <f aca="false">$C31*G$9</f>
        <v>6353.52091238043</v>
      </c>
      <c r="I31" s="364" t="s">
        <v>246</v>
      </c>
      <c r="J31" s="365" t="n">
        <f aca="false">J24/100</f>
        <v>0.376174175126904</v>
      </c>
      <c r="K31" s="366" t="n">
        <f aca="false">J31*K9</f>
        <v>0.496680187939709</v>
      </c>
      <c r="L31" s="366" t="n">
        <f aca="false">K31*L9</f>
        <v>0.521406690804177</v>
      </c>
      <c r="M31" s="366" t="n">
        <f aca="false">L31*M9</f>
        <v>1.57464820622757</v>
      </c>
      <c r="N31" s="366" t="n">
        <f aca="false">M31*N9</f>
        <v>7.91641263612235</v>
      </c>
      <c r="O31" s="367" t="s">
        <v>260</v>
      </c>
    </row>
    <row r="32" customFormat="false" ht="14.05" hidden="false" customHeight="false" outlineLevel="0" collapsed="false">
      <c r="A32" s="316"/>
      <c r="B32" s="252" t="s">
        <v>261</v>
      </c>
      <c r="C32" s="359" t="n">
        <v>1000000</v>
      </c>
      <c r="D32" s="357" t="n">
        <f aca="false">$C32*D$9</f>
        <v>111283.759330969</v>
      </c>
      <c r="E32" s="357" t="n">
        <f aca="false">$C32*E$9</f>
        <v>90130.6480531811</v>
      </c>
      <c r="F32" s="357" t="n">
        <f aca="false">$C32*F$9</f>
        <v>240205.166785512</v>
      </c>
      <c r="G32" s="358" t="n">
        <f aca="false">$C32*G$9</f>
        <v>423568.060825362</v>
      </c>
    </row>
    <row r="33" customFormat="false" ht="14.05" hidden="false" customHeight="false" outlineLevel="0" collapsed="false">
      <c r="A33" s="316"/>
      <c r="B33" s="252" t="s">
        <v>262</v>
      </c>
      <c r="C33" s="339" t="n">
        <v>2.5</v>
      </c>
      <c r="D33" s="368" t="n">
        <v>2.5</v>
      </c>
      <c r="E33" s="368" t="n">
        <v>2.5</v>
      </c>
      <c r="F33" s="368" t="n">
        <v>2.5</v>
      </c>
      <c r="G33" s="369" t="n">
        <v>2.5</v>
      </c>
    </row>
    <row r="34" customFormat="false" ht="14.05" hidden="false" customHeight="false" outlineLevel="0" collapsed="false">
      <c r="A34" s="316"/>
      <c r="B34" s="252" t="s">
        <v>263</v>
      </c>
      <c r="C34" s="370" t="n">
        <v>0.4</v>
      </c>
      <c r="D34" s="371" t="n">
        <v>0.4</v>
      </c>
      <c r="E34" s="371" t="n">
        <v>0.4</v>
      </c>
      <c r="F34" s="371" t="n">
        <v>0.4</v>
      </c>
      <c r="G34" s="372" t="n">
        <v>0.4</v>
      </c>
    </row>
    <row r="35" customFormat="false" ht="14.05" hidden="false" customHeight="false" outlineLevel="0" collapsed="false">
      <c r="A35" s="316"/>
      <c r="B35" s="252" t="s">
        <v>264</v>
      </c>
      <c r="C35" s="359" t="n">
        <v>1000000</v>
      </c>
      <c r="D35" s="357" t="n">
        <f aca="false">$C35*D$9</f>
        <v>111283.759330969</v>
      </c>
      <c r="E35" s="357" t="n">
        <f aca="false">$C35*E$9</f>
        <v>90130.6480531811</v>
      </c>
      <c r="F35" s="357" t="n">
        <f aca="false">$C35*F$9</f>
        <v>240205.166785512</v>
      </c>
      <c r="G35" s="358" t="n">
        <f aca="false">$C35*G$9</f>
        <v>423568.060825362</v>
      </c>
    </row>
    <row r="36" customFormat="false" ht="14.05" hidden="false" customHeight="false" outlineLevel="0" collapsed="false">
      <c r="A36" s="316"/>
      <c r="B36" s="252" t="s">
        <v>262</v>
      </c>
      <c r="C36" s="339" t="n">
        <v>5</v>
      </c>
      <c r="D36" s="368" t="n">
        <v>5</v>
      </c>
      <c r="E36" s="368" t="n">
        <v>5</v>
      </c>
      <c r="F36" s="368" t="n">
        <v>5</v>
      </c>
      <c r="G36" s="369" t="n">
        <v>5</v>
      </c>
    </row>
    <row r="37" customFormat="false" ht="14.05" hidden="false" customHeight="false" outlineLevel="0" collapsed="false">
      <c r="A37" s="325"/>
      <c r="B37" s="305" t="s">
        <v>265</v>
      </c>
      <c r="C37" s="373" t="n">
        <v>0.6</v>
      </c>
      <c r="D37" s="374" t="n">
        <v>0.6</v>
      </c>
      <c r="E37" s="374" t="n">
        <v>0.6</v>
      </c>
      <c r="F37" s="374" t="n">
        <v>0.6</v>
      </c>
      <c r="G37" s="375" t="n">
        <v>0.6</v>
      </c>
    </row>
    <row r="38" customFormat="false" ht="14.05" hidden="false" customHeight="false" outlineLevel="0" collapsed="false">
      <c r="B38" s="128" t="s">
        <v>210</v>
      </c>
      <c r="C38" s="376" t="n">
        <f aca="false">J12</f>
        <v>69000</v>
      </c>
      <c r="D38" s="377" t="n">
        <f aca="false">+K12</f>
        <v>91103.8961041876</v>
      </c>
      <c r="E38" s="377" t="n">
        <f aca="false">+L12</f>
        <v>72435.0649352968</v>
      </c>
      <c r="F38" s="377" t="n">
        <f aca="false">+M12</f>
        <v>208379.999999862</v>
      </c>
      <c r="G38" s="378" t="n">
        <f aca="false">+N12</f>
        <v>346891.749999872</v>
      </c>
    </row>
    <row r="39" customFormat="false" ht="14.05" hidden="false" customHeight="false" outlineLevel="0" collapsed="false">
      <c r="A39" s="379" t="s">
        <v>175</v>
      </c>
      <c r="B39" s="380" t="s">
        <v>266</v>
      </c>
      <c r="C39" s="331" t="s">
        <v>267</v>
      </c>
      <c r="D39" s="331" t="s">
        <v>268</v>
      </c>
      <c r="E39" s="331" t="s">
        <v>269</v>
      </c>
      <c r="F39" s="331" t="s">
        <v>270</v>
      </c>
      <c r="G39" s="332" t="s">
        <v>271</v>
      </c>
    </row>
    <row r="40" customFormat="false" ht="14.05" hidden="false" customHeight="false" outlineLevel="0" collapsed="false">
      <c r="A40" s="316"/>
      <c r="B40" s="381" t="n">
        <v>45</v>
      </c>
      <c r="C40" s="359" t="n">
        <v>0</v>
      </c>
      <c r="D40" s="357" t="n">
        <f aca="false">$C40*D$9</f>
        <v>0</v>
      </c>
      <c r="E40" s="357" t="n">
        <f aca="false">$C40*E$9</f>
        <v>0</v>
      </c>
      <c r="F40" s="357" t="n">
        <f aca="false">$C40*F$9</f>
        <v>0</v>
      </c>
      <c r="G40" s="358" t="n">
        <f aca="false">$C40*G$9</f>
        <v>0</v>
      </c>
    </row>
    <row r="41" customFormat="false" ht="14.05" hidden="false" customHeight="false" outlineLevel="0" collapsed="false">
      <c r="A41" s="316"/>
      <c r="B41" s="381" t="n">
        <v>50</v>
      </c>
      <c r="C41" s="359" t="n">
        <v>1470</v>
      </c>
      <c r="D41" s="357" t="n">
        <f aca="false">$C41*D$9</f>
        <v>163.587126216524</v>
      </c>
      <c r="E41" s="357" t="n">
        <f aca="false">$C41*E$9</f>
        <v>132.492052638176</v>
      </c>
      <c r="F41" s="357" t="n">
        <f aca="false">$C41*F$9</f>
        <v>353.101595174702</v>
      </c>
      <c r="G41" s="358" t="n">
        <f aca="false">$C41*G$9</f>
        <v>622.645049413282</v>
      </c>
    </row>
    <row r="42" customFormat="false" ht="14.05" hidden="false" customHeight="false" outlineLevel="0" collapsed="false">
      <c r="A42" s="316"/>
      <c r="B42" s="381" t="n">
        <v>55</v>
      </c>
      <c r="C42" s="359" t="n">
        <v>3300</v>
      </c>
      <c r="D42" s="357" t="n">
        <f aca="false">$C42*D$9</f>
        <v>367.236405792196</v>
      </c>
      <c r="E42" s="357" t="n">
        <f aca="false">$C42*E$9</f>
        <v>297.431138575498</v>
      </c>
      <c r="F42" s="357" t="n">
        <f aca="false">$C42*F$9</f>
        <v>792.677050392189</v>
      </c>
      <c r="G42" s="358" t="n">
        <f aca="false">$C42*G$9</f>
        <v>1397.7746007237</v>
      </c>
    </row>
    <row r="43" customFormat="false" ht="14.05" hidden="false" customHeight="false" outlineLevel="0" collapsed="false">
      <c r="A43" s="316"/>
      <c r="B43" s="381" t="n">
        <v>60</v>
      </c>
      <c r="C43" s="359" t="n">
        <v>5890</v>
      </c>
      <c r="D43" s="357" t="n">
        <f aca="false">$C43*D$9</f>
        <v>655.461342459405</v>
      </c>
      <c r="E43" s="357" t="n">
        <f aca="false">$C43*E$9</f>
        <v>530.869517033237</v>
      </c>
      <c r="F43" s="357" t="n">
        <f aca="false">$C43*F$9</f>
        <v>1414.80843236666</v>
      </c>
      <c r="G43" s="358" t="n">
        <f aca="false">$C43*G$9</f>
        <v>2494.81587826138</v>
      </c>
    </row>
    <row r="44" customFormat="false" ht="14.05" hidden="false" customHeight="false" outlineLevel="0" collapsed="false">
      <c r="A44" s="316"/>
      <c r="B44" s="381" t="n">
        <v>65</v>
      </c>
      <c r="C44" s="359" t="n">
        <v>10050</v>
      </c>
      <c r="D44" s="357" t="n">
        <f aca="false">$C44*D$9</f>
        <v>1118.40178127623</v>
      </c>
      <c r="E44" s="357" t="n">
        <f aca="false">$C44*E$9</f>
        <v>905.81301293447</v>
      </c>
      <c r="F44" s="357" t="n">
        <f aca="false">$C44*F$9</f>
        <v>2414.06192619439</v>
      </c>
      <c r="G44" s="358" t="n">
        <f aca="false">$C44*G$9</f>
        <v>4256.85901129489</v>
      </c>
    </row>
    <row r="45" customFormat="false" ht="14.05" hidden="false" customHeight="false" outlineLevel="0" collapsed="false">
      <c r="A45" s="316"/>
      <c r="B45" s="381" t="n">
        <v>70</v>
      </c>
      <c r="C45" s="359" t="n">
        <v>17020</v>
      </c>
      <c r="D45" s="357" t="n">
        <f aca="false">$C45*D$9</f>
        <v>1894.04958381308</v>
      </c>
      <c r="E45" s="357" t="n">
        <f aca="false">$C45*E$9</f>
        <v>1534.02362986514</v>
      </c>
      <c r="F45" s="357" t="n">
        <f aca="false">$C45*F$9</f>
        <v>4088.29193868941</v>
      </c>
      <c r="G45" s="358" t="n">
        <f aca="false">$C45*G$9</f>
        <v>7209.12839524766</v>
      </c>
    </row>
    <row r="46" customFormat="false" ht="14.05" hidden="false" customHeight="false" outlineLevel="0" collapsed="false">
      <c r="A46" s="325"/>
      <c r="B46" s="304" t="n">
        <v>75</v>
      </c>
      <c r="C46" s="382" t="n">
        <v>27020</v>
      </c>
      <c r="D46" s="383" t="n">
        <f aca="false">$C46*D$9</f>
        <v>3006.88717712277</v>
      </c>
      <c r="E46" s="383" t="n">
        <f aca="false">$C46*E$9</f>
        <v>2435.33011039695</v>
      </c>
      <c r="F46" s="383" t="n">
        <f aca="false">$C46*F$9</f>
        <v>6490.34360654453</v>
      </c>
      <c r="G46" s="384" t="n">
        <f aca="false">$C46*G$9</f>
        <v>11444.8090035013</v>
      </c>
    </row>
    <row r="47" customFormat="false" ht="14.05" hidden="false" customHeight="false" outlineLevel="0" collapsed="false">
      <c r="A47" s="242"/>
      <c r="B47" s="100"/>
      <c r="C47" s="385" t="s">
        <v>272</v>
      </c>
      <c r="D47" s="268" t="s">
        <v>273</v>
      </c>
      <c r="E47" s="268" t="s">
        <v>274</v>
      </c>
      <c r="F47" s="268" t="s">
        <v>275</v>
      </c>
      <c r="G47" s="268" t="s">
        <v>276</v>
      </c>
    </row>
    <row r="48" customFormat="false" ht="14.05" hidden="false" customHeight="false" outlineLevel="0" collapsed="false">
      <c r="A48" s="242"/>
      <c r="B48" s="100"/>
      <c r="C48" s="386" t="n">
        <f aca="false">9.1/100</f>
        <v>0.091</v>
      </c>
      <c r="D48" s="387" t="n">
        <f aca="false">C48*K9/1.61</f>
        <v>0.074628270280683</v>
      </c>
      <c r="E48" s="387" t="n">
        <f aca="false">D48*L9/1.61</f>
        <v>0.0486605779439207</v>
      </c>
      <c r="F48" s="387" t="n">
        <f aca="false">E48*M9/1.61</f>
        <v>0.0912763635966107</v>
      </c>
      <c r="G48" s="387" t="n">
        <f aca="false">F48*N9/1.61</f>
        <v>0.285021311564074</v>
      </c>
    </row>
    <row r="49" customFormat="false" ht="14.05" hidden="false" customHeight="false" outlineLevel="0" collapsed="false">
      <c r="C49" s="166"/>
    </row>
    <row r="50" customFormat="false" ht="14.05" hidden="false" customHeight="false" outlineLevel="0" collapsed="false">
      <c r="A50" s="379" t="s">
        <v>277</v>
      </c>
      <c r="B50" s="388" t="s">
        <v>278</v>
      </c>
      <c r="C50" s="331" t="s">
        <v>279</v>
      </c>
      <c r="D50" s="331" t="s">
        <v>280</v>
      </c>
      <c r="E50" s="331" t="s">
        <v>281</v>
      </c>
      <c r="F50" s="331" t="s">
        <v>282</v>
      </c>
      <c r="G50" s="332" t="s">
        <v>283</v>
      </c>
    </row>
    <row r="51" customFormat="false" ht="14.05" hidden="false" customHeight="false" outlineLevel="0" collapsed="false">
      <c r="A51" s="316" t="s">
        <v>129</v>
      </c>
      <c r="B51" s="389" t="s">
        <v>134</v>
      </c>
      <c r="C51" s="359" t="n">
        <v>12000</v>
      </c>
      <c r="D51" s="357" t="n">
        <f aca="false">$C51*D$9</f>
        <v>1335.40511197162</v>
      </c>
      <c r="E51" s="357" t="n">
        <f aca="false">$C51*E$9</f>
        <v>1081.56777663817</v>
      </c>
      <c r="F51" s="357" t="n">
        <f aca="false">$C51*F$9</f>
        <v>2882.46200142614</v>
      </c>
      <c r="G51" s="358" t="n">
        <f aca="false">$C51*G$9</f>
        <v>5082.81672990435</v>
      </c>
    </row>
    <row r="52" customFormat="false" ht="14.05" hidden="false" customHeight="false" outlineLevel="0" collapsed="false">
      <c r="A52" s="316"/>
      <c r="B52" s="389" t="s">
        <v>135</v>
      </c>
      <c r="C52" s="359" t="n">
        <v>7700</v>
      </c>
      <c r="D52" s="357" t="n">
        <f aca="false">$C52*D$9</f>
        <v>856.884946848458</v>
      </c>
      <c r="E52" s="357" t="n">
        <f aca="false">$C52*E$9</f>
        <v>694.005990009495</v>
      </c>
      <c r="F52" s="357" t="n">
        <f aca="false">$C52*F$9</f>
        <v>1849.57978424844</v>
      </c>
      <c r="G52" s="358" t="n">
        <f aca="false">$C52*G$9</f>
        <v>3261.47406835529</v>
      </c>
    </row>
    <row r="53" customFormat="false" ht="14.05" hidden="false" customHeight="false" outlineLevel="0" collapsed="false">
      <c r="A53" s="316"/>
      <c r="B53" s="389" t="s">
        <v>137</v>
      </c>
      <c r="C53" s="359" t="n">
        <v>5500</v>
      </c>
      <c r="D53" s="357" t="n">
        <f aca="false">$C53*D$9</f>
        <v>612.060676320327</v>
      </c>
      <c r="E53" s="357" t="n">
        <f aca="false">$C53*E$9</f>
        <v>495.718564292496</v>
      </c>
      <c r="F53" s="357" t="n">
        <f aca="false">$C53*F$9</f>
        <v>1321.12841732032</v>
      </c>
      <c r="G53" s="358" t="n">
        <f aca="false">$C53*G$9</f>
        <v>2329.62433453949</v>
      </c>
    </row>
    <row r="54" customFormat="false" ht="14.05" hidden="false" customHeight="false" outlineLevel="0" collapsed="false">
      <c r="A54" s="325"/>
      <c r="B54" s="390" t="s">
        <v>138</v>
      </c>
      <c r="C54" s="382" t="n">
        <v>3500</v>
      </c>
      <c r="D54" s="383" t="n">
        <f aca="false">$C54*D$9</f>
        <v>389.49315765839</v>
      </c>
      <c r="E54" s="383" t="n">
        <f aca="false">$C54*E$9</f>
        <v>315.457268186134</v>
      </c>
      <c r="F54" s="383" t="n">
        <f aca="false">$C54*F$9</f>
        <v>840.718083749291</v>
      </c>
      <c r="G54" s="384" t="n">
        <f aca="false">$C54*G$9</f>
        <v>1482.48821288877</v>
      </c>
    </row>
    <row r="55" customFormat="false" ht="14.05" hidden="false" customHeight="false" outlineLevel="0" collapsed="false">
      <c r="A55" s="391" t="s">
        <v>284</v>
      </c>
      <c r="B55" s="392" t="s">
        <v>134</v>
      </c>
      <c r="C55" s="393" t="n">
        <v>70</v>
      </c>
      <c r="D55" s="394" t="n">
        <f aca="false">$C55*D$9</f>
        <v>7.7898631531678</v>
      </c>
      <c r="E55" s="394" t="n">
        <f aca="false">$C55*E$9</f>
        <v>6.30914536372268</v>
      </c>
      <c r="F55" s="394" t="n">
        <f aca="false">$C55*F$9</f>
        <v>16.8143616749858</v>
      </c>
      <c r="G55" s="395" t="n">
        <f aca="false">$C55*G$9</f>
        <v>29.6497642577753</v>
      </c>
    </row>
    <row r="56" customFormat="false" ht="14.05" hidden="false" customHeight="false" outlineLevel="0" collapsed="false">
      <c r="A56" s="316"/>
      <c r="B56" s="389" t="s">
        <v>135</v>
      </c>
      <c r="C56" s="359" t="n">
        <v>45</v>
      </c>
      <c r="D56" s="357" t="n">
        <f aca="false">$C56*D$9</f>
        <v>5.00776916989358</v>
      </c>
      <c r="E56" s="357" t="n">
        <f aca="false">$C56*E$9</f>
        <v>4.05587916239315</v>
      </c>
      <c r="F56" s="357" t="n">
        <f aca="false">$C56*F$9</f>
        <v>10.809232505348</v>
      </c>
      <c r="G56" s="358" t="n">
        <f aca="false">$C56*G$9</f>
        <v>19.0605627371413</v>
      </c>
    </row>
    <row r="57" customFormat="false" ht="14.05" hidden="false" customHeight="false" outlineLevel="0" collapsed="false">
      <c r="A57" s="316"/>
      <c r="B57" s="389" t="s">
        <v>137</v>
      </c>
      <c r="C57" s="359" t="n">
        <v>30</v>
      </c>
      <c r="D57" s="357" t="n">
        <f aca="false">$C57*D$9</f>
        <v>3.33851277992906</v>
      </c>
      <c r="E57" s="357" t="n">
        <f aca="false">$C57*E$9</f>
        <v>2.70391944159543</v>
      </c>
      <c r="F57" s="357" t="n">
        <f aca="false">$C57*F$9</f>
        <v>7.20615500356536</v>
      </c>
      <c r="G57" s="358" t="n">
        <f aca="false">$C57*G$9</f>
        <v>12.7070418247609</v>
      </c>
    </row>
    <row r="58" customFormat="false" ht="14.05" hidden="false" customHeight="false" outlineLevel="0" collapsed="false">
      <c r="A58" s="325"/>
      <c r="B58" s="390" t="s">
        <v>138</v>
      </c>
      <c r="C58" s="382" t="n">
        <v>20</v>
      </c>
      <c r="D58" s="383" t="n">
        <f aca="false">$C58*D$9</f>
        <v>2.22567518661937</v>
      </c>
      <c r="E58" s="383" t="n">
        <f aca="false">$C58*E$9</f>
        <v>1.80261296106362</v>
      </c>
      <c r="F58" s="383" t="n">
        <f aca="false">$C58*F$9</f>
        <v>4.80410333571024</v>
      </c>
      <c r="G58" s="384" t="n">
        <f aca="false">$C58*G$9</f>
        <v>8.47136121650724</v>
      </c>
    </row>
    <row r="59" customFormat="false" ht="14.05" hidden="false" customHeight="false" outlineLevel="0" collapsed="false">
      <c r="A59" s="391" t="s">
        <v>130</v>
      </c>
      <c r="B59" s="392" t="s">
        <v>134</v>
      </c>
      <c r="C59" s="393" t="n">
        <v>350</v>
      </c>
      <c r="D59" s="394" t="n">
        <f aca="false">$C59*D$9</f>
        <v>38.949315765839</v>
      </c>
      <c r="E59" s="394" t="n">
        <f aca="false">$C59*E$9</f>
        <v>31.5457268186134</v>
      </c>
      <c r="F59" s="394" t="n">
        <f aca="false">$C59*F$9</f>
        <v>84.0718083749291</v>
      </c>
      <c r="G59" s="395" t="n">
        <f aca="false">$C59*G$9</f>
        <v>148.248821288877</v>
      </c>
    </row>
    <row r="60" customFormat="false" ht="14.05" hidden="false" customHeight="false" outlineLevel="0" collapsed="false">
      <c r="A60" s="316"/>
      <c r="B60" s="389" t="s">
        <v>135</v>
      </c>
      <c r="C60" s="359" t="n">
        <v>220</v>
      </c>
      <c r="D60" s="357" t="n">
        <f aca="false">$C60*D$9</f>
        <v>24.4824270528131</v>
      </c>
      <c r="E60" s="357" t="n">
        <f aca="false">$C60*E$9</f>
        <v>19.8287425716998</v>
      </c>
      <c r="F60" s="357" t="n">
        <f aca="false">$C60*F$9</f>
        <v>52.8451366928126</v>
      </c>
      <c r="G60" s="358" t="n">
        <f aca="false">$C60*G$9</f>
        <v>93.1849733815797</v>
      </c>
    </row>
    <row r="61" customFormat="false" ht="14.05" hidden="false" customHeight="false" outlineLevel="0" collapsed="false">
      <c r="A61" s="316"/>
      <c r="B61" s="389" t="s">
        <v>137</v>
      </c>
      <c r="C61" s="359" t="n">
        <v>160</v>
      </c>
      <c r="D61" s="357" t="n">
        <f aca="false">$C61*D$9</f>
        <v>17.805401492955</v>
      </c>
      <c r="E61" s="357" t="n">
        <f aca="false">$C61*E$9</f>
        <v>14.420903688509</v>
      </c>
      <c r="F61" s="357" t="n">
        <f aca="false">$C61*F$9</f>
        <v>38.4328266856819</v>
      </c>
      <c r="G61" s="358" t="n">
        <f aca="false">$C61*G$9</f>
        <v>67.770889732058</v>
      </c>
    </row>
    <row r="62" customFormat="false" ht="14.05" hidden="false" customHeight="false" outlineLevel="0" collapsed="false">
      <c r="A62" s="325"/>
      <c r="B62" s="390" t="s">
        <v>138</v>
      </c>
      <c r="C62" s="382" t="n">
        <v>100</v>
      </c>
      <c r="D62" s="383" t="n">
        <f aca="false">$C62*D$9</f>
        <v>11.1283759330969</v>
      </c>
      <c r="E62" s="383" t="n">
        <f aca="false">$C62*E$9</f>
        <v>9.01306480531811</v>
      </c>
      <c r="F62" s="383" t="n">
        <f aca="false">$C62*F$9</f>
        <v>24.0205166785512</v>
      </c>
      <c r="G62" s="384" t="n">
        <f aca="false">$C62*G$9</f>
        <v>42.3568060825362</v>
      </c>
    </row>
    <row r="63" customFormat="false" ht="14.05" hidden="false" customHeight="false" outlineLevel="0" collapsed="false">
      <c r="A63" s="391" t="s">
        <v>285</v>
      </c>
      <c r="B63" s="392" t="s">
        <v>134</v>
      </c>
      <c r="C63" s="393" t="n">
        <v>40</v>
      </c>
      <c r="D63" s="394" t="n">
        <f aca="false">$C63*D$9</f>
        <v>4.45135037323874</v>
      </c>
      <c r="E63" s="394" t="n">
        <f aca="false">$C63*E$9</f>
        <v>3.60522592212725</v>
      </c>
      <c r="F63" s="394" t="n">
        <f aca="false">$C63*F$9</f>
        <v>9.60820667142047</v>
      </c>
      <c r="G63" s="395" t="n">
        <f aca="false">$C63*G$9</f>
        <v>16.9427224330145</v>
      </c>
    </row>
    <row r="64" customFormat="false" ht="14.05" hidden="false" customHeight="false" outlineLevel="0" collapsed="false">
      <c r="A64" s="316"/>
      <c r="B64" s="389" t="s">
        <v>135</v>
      </c>
      <c r="C64" s="359" t="n">
        <v>30</v>
      </c>
      <c r="D64" s="357" t="n">
        <f aca="false">$C64*D$9</f>
        <v>3.33851277992906</v>
      </c>
      <c r="E64" s="357" t="n">
        <f aca="false">$C64*E$9</f>
        <v>2.70391944159543</v>
      </c>
      <c r="F64" s="357" t="n">
        <f aca="false">$C64*F$9</f>
        <v>7.20615500356536</v>
      </c>
      <c r="G64" s="358" t="n">
        <f aca="false">$C64*G$9</f>
        <v>12.7070418247609</v>
      </c>
    </row>
    <row r="65" customFormat="false" ht="14.05" hidden="false" customHeight="false" outlineLevel="0" collapsed="false">
      <c r="A65" s="316"/>
      <c r="B65" s="389" t="s">
        <v>137</v>
      </c>
      <c r="C65" s="359" t="n">
        <v>20</v>
      </c>
      <c r="D65" s="357" t="n">
        <f aca="false">$C65*D$9</f>
        <v>2.22567518661937</v>
      </c>
      <c r="E65" s="357" t="n">
        <f aca="false">$C65*E$9</f>
        <v>1.80261296106362</v>
      </c>
      <c r="F65" s="357" t="n">
        <f aca="false">$C65*F$9</f>
        <v>4.80410333571024</v>
      </c>
      <c r="G65" s="358" t="n">
        <f aca="false">$C65*G$9</f>
        <v>8.47136121650724</v>
      </c>
    </row>
    <row r="66" customFormat="false" ht="14.05" hidden="false" customHeight="false" outlineLevel="0" collapsed="false">
      <c r="A66" s="325"/>
      <c r="B66" s="390" t="s">
        <v>138</v>
      </c>
      <c r="C66" s="382" t="n">
        <v>15</v>
      </c>
      <c r="D66" s="383" t="n">
        <f aca="false">$C66*D$9</f>
        <v>1.66925638996453</v>
      </c>
      <c r="E66" s="383" t="n">
        <f aca="false">$C66*E$9</f>
        <v>1.35195972079772</v>
      </c>
      <c r="F66" s="383" t="n">
        <f aca="false">$C66*F$9</f>
        <v>3.60307750178268</v>
      </c>
      <c r="G66" s="384" t="n">
        <f aca="false">$C66*G$9</f>
        <v>6.35352091238043</v>
      </c>
    </row>
    <row r="67" customFormat="false" ht="14.05" hidden="false" customHeight="false" outlineLevel="0" collapsed="false">
      <c r="A67" s="396" t="s">
        <v>133</v>
      </c>
      <c r="B67" s="331" t="s">
        <v>286</v>
      </c>
      <c r="C67" s="397" t="n">
        <v>1.08</v>
      </c>
      <c r="D67" s="398" t="n">
        <f aca="false">$C67*D$9</f>
        <v>0.120186460077446</v>
      </c>
      <c r="E67" s="398" t="n">
        <f aca="false">$C67*E$9</f>
        <v>0.0973410998974356</v>
      </c>
      <c r="F67" s="398" t="n">
        <f aca="false">$C67*F$9</f>
        <v>0.259421580128353</v>
      </c>
      <c r="G67" s="399" t="n">
        <f aca="false">$C67*G$9</f>
        <v>0.457453505691391</v>
      </c>
    </row>
    <row r="68" customFormat="false" ht="14.05" hidden="false" customHeight="false" outlineLevel="0" collapsed="false">
      <c r="A68" s="400"/>
      <c r="B68" s="401" t="s">
        <v>287</v>
      </c>
      <c r="C68" s="402" t="n">
        <v>1.45</v>
      </c>
      <c r="D68" s="403" t="n">
        <f aca="false">$C68*D$9</f>
        <v>0.161361451029904</v>
      </c>
      <c r="E68" s="403" t="n">
        <f aca="false">$C68*E$9</f>
        <v>0.130689439677113</v>
      </c>
      <c r="F68" s="403" t="n">
        <f aca="false">$C68*F$9</f>
        <v>0.348297491838992</v>
      </c>
      <c r="G68" s="404" t="n">
        <f aca="false">$C68*G$9</f>
        <v>0.614173688196775</v>
      </c>
    </row>
    <row r="70" customFormat="false" ht="14.05" hidden="false" customHeight="false" outlineLevel="0" collapsed="false">
      <c r="C70" s="252" t="s">
        <v>288</v>
      </c>
      <c r="D70" s="252" t="s">
        <v>289</v>
      </c>
      <c r="E70" s="252" t="s">
        <v>290</v>
      </c>
      <c r="F70" s="252" t="s">
        <v>291</v>
      </c>
      <c r="G70" s="252" t="s">
        <v>292</v>
      </c>
    </row>
    <row r="71" customFormat="false" ht="14.05" hidden="false" customHeight="false" outlineLevel="0" collapsed="false">
      <c r="B71" s="322" t="s">
        <v>293</v>
      </c>
      <c r="C71" s="405" t="n">
        <f aca="false">J13/1.61</f>
        <v>0.0236024844720497</v>
      </c>
      <c r="D71" s="406" t="n">
        <f aca="false">K13/1.61</f>
        <v>0.0311634535238017</v>
      </c>
      <c r="E71" s="407" t="n">
        <f aca="false">L13/1.61</f>
        <v>0.0247774999328587</v>
      </c>
      <c r="F71" s="406" t="n">
        <f aca="false">M13/1.61</f>
        <v>0.0712795031055429</v>
      </c>
      <c r="G71" s="406" t="n">
        <f aca="false">N13/1.61</f>
        <v>0.11865952380948</v>
      </c>
    </row>
    <row r="72" customFormat="false" ht="14.05" hidden="false" customHeight="false" outlineLevel="0" collapsed="false">
      <c r="B72" s="322" t="str">
        <f aca="false">I14</f>
        <v>Value of local air quality per car km</v>
      </c>
      <c r="C72" s="405" t="n">
        <f aca="false">J14</f>
        <v>0.004</v>
      </c>
      <c r="D72" s="406" t="n">
        <f aca="false">K14</f>
        <v>0.00528138528140218</v>
      </c>
      <c r="E72" s="406" t="n">
        <f aca="false">L14</f>
        <v>0.00419913419914764</v>
      </c>
      <c r="F72" s="406" t="n">
        <f aca="false">M14</f>
        <v>0.012079999999992</v>
      </c>
      <c r="G72" s="406" t="n">
        <f aca="false">N14</f>
        <v>0.0201096666666593</v>
      </c>
    </row>
    <row r="73" customFormat="false" ht="14.05" hidden="false" customHeight="false" outlineLevel="0" collapsed="false">
      <c r="B73" s="322" t="str">
        <f aca="false">I15</f>
        <v>Operating costs for cars per km</v>
      </c>
      <c r="C73" s="405" t="n">
        <f aca="false">J15</f>
        <v>0.265</v>
      </c>
      <c r="D73" s="406" t="n">
        <f aca="false">K15</f>
        <v>0.349891774892895</v>
      </c>
      <c r="E73" s="406" t="n">
        <f aca="false">L15</f>
        <v>0.278192640693531</v>
      </c>
      <c r="F73" s="406" t="n">
        <f aca="false">M15</f>
        <v>0.80029999999947</v>
      </c>
      <c r="G73" s="406" t="n">
        <f aca="false">N15</f>
        <v>1.33226541666618</v>
      </c>
    </row>
    <row r="74" customFormat="false" ht="14.05" hidden="false" customHeight="false" outlineLevel="0" collapsed="false">
      <c r="B74" s="408" t="str">
        <f aca="false">I17</f>
        <v>Non-GHG Air Pollution Costs (per vehicle km)</v>
      </c>
      <c r="C74" s="409" t="n">
        <f aca="false">J17</f>
        <v>0.0801242236024845</v>
      </c>
      <c r="D74" s="410" t="n">
        <f aca="false">K17</f>
        <v>0.0781012726073377</v>
      </c>
      <c r="E74" s="410" t="n">
        <f aca="false">L17</f>
        <v>0.0605291102823266</v>
      </c>
      <c r="F74" s="410" t="n">
        <f aca="false">M17</f>
        <v>0.134951479434736</v>
      </c>
      <c r="G74" s="410" t="n">
        <f aca="false">N17</f>
        <v>0.500874529255967</v>
      </c>
    </row>
    <row r="75" customFormat="false" ht="14.05" hidden="false" customHeight="false" outlineLevel="0" collapsed="false">
      <c r="B75" s="252" t="s">
        <v>246</v>
      </c>
      <c r="C75" s="411" t="n">
        <f aca="false">J31</f>
        <v>0.376174175126904</v>
      </c>
      <c r="D75" s="406" t="n">
        <f aca="false">K31</f>
        <v>0.496680187939709</v>
      </c>
      <c r="E75" s="406" t="n">
        <f aca="false">L31</f>
        <v>0.521406690804177</v>
      </c>
      <c r="F75" s="406" t="n">
        <f aca="false">M31</f>
        <v>1.57464820622757</v>
      </c>
      <c r="G75" s="406" t="n">
        <f aca="false">N31</f>
        <v>7.91641263612235</v>
      </c>
    </row>
  </sheetData>
  <mergeCells count="1">
    <mergeCell ref="A2:J2"/>
  </mergeCells>
  <hyperlinks>
    <hyperlink ref="H7" r:id="rId1" display="Converter"/>
    <hyperlink ref="H8" r:id="rId2" display="PPS"/>
    <hyperlink ref="O13" r:id="rId3" display="https://www.gov.uk/government/uploads/system/uploads/attachment_data/file/51151/msb-technical-report.pdf"/>
    <hyperlink ref="O14" r:id="rId4" display="http://www.dft.gov.uk/webtag/documents/archive/1208/unit3.9.5.pdf"/>
    <hyperlink ref="O15" r:id="rId5" display="http://www.theaa.com/resources/Documents/pdf/motoring-advice/running-costs/petrol2013.pdf"/>
    <hyperlink ref="O17" r:id="rId6" display="http://www.vtpi.org/tca/tca0510.pdf"/>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M40"/>
  <sheetViews>
    <sheetView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4.05" zeroHeight="false" outlineLevelRow="0" outlineLevelCol="0"/>
  <cols>
    <col collapsed="false" customWidth="true" hidden="false" outlineLevel="0" max="1" min="1" style="1" width="16.41"/>
    <col collapsed="false" customWidth="true" hidden="false" outlineLevel="0" max="4" min="2" style="1" width="15.75"/>
    <col collapsed="false" customWidth="true" hidden="false" outlineLevel="0" max="5" min="5" style="1" width="5.58"/>
    <col collapsed="false" customWidth="true" hidden="false" outlineLevel="0" max="8" min="6" style="1" width="15.75"/>
    <col collapsed="false" customWidth="true" hidden="false" outlineLevel="0" max="15" min="9" style="1" width="8.71"/>
    <col collapsed="false" customWidth="true" hidden="false" outlineLevel="0" max="16" min="16" style="1" width="13.63"/>
    <col collapsed="false" customWidth="true" hidden="false" outlineLevel="0" max="1025" min="17" style="1" width="8.71"/>
  </cols>
  <sheetData>
    <row r="1" customFormat="false" ht="17.65" hidden="false" customHeight="false" outlineLevel="0" collapsed="false">
      <c r="A1" s="82" t="s">
        <v>46</v>
      </c>
    </row>
    <row r="2" customFormat="false" ht="14.05" hidden="false" customHeight="false" outlineLevel="0" collapsed="false">
      <c r="A2" s="22" t="s">
        <v>47</v>
      </c>
      <c r="B2" s="83"/>
      <c r="C2" s="83"/>
      <c r="D2" s="83"/>
      <c r="E2" s="83"/>
      <c r="F2" s="83"/>
      <c r="G2" s="83"/>
    </row>
    <row r="3" customFormat="false" ht="43.5" hidden="false" customHeight="true" outlineLevel="0" collapsed="false">
      <c r="A3" s="84" t="s">
        <v>48</v>
      </c>
      <c r="B3" s="84"/>
      <c r="C3" s="84"/>
      <c r="D3" s="84"/>
      <c r="E3" s="84"/>
      <c r="F3" s="84"/>
      <c r="G3" s="84"/>
      <c r="H3" s="84"/>
    </row>
    <row r="4" customFormat="false" ht="14.05" hidden="false" customHeight="false" outlineLevel="0" collapsed="false">
      <c r="A4" s="85"/>
      <c r="B4" s="85"/>
      <c r="C4" s="85"/>
      <c r="D4" s="85"/>
      <c r="E4" s="85"/>
      <c r="F4" s="85"/>
      <c r="G4" s="85"/>
    </row>
    <row r="5" customFormat="false" ht="14.05" hidden="false" customHeight="false" outlineLevel="0" collapsed="false">
      <c r="A5" s="86" t="s">
        <v>49</v>
      </c>
      <c r="B5" s="85"/>
      <c r="C5" s="85"/>
      <c r="D5" s="85"/>
      <c r="E5" s="85"/>
      <c r="F5" s="85"/>
      <c r="G5" s="85"/>
    </row>
    <row r="6" customFormat="false" ht="45" hidden="false" customHeight="true" outlineLevel="0" collapsed="false">
      <c r="A6" s="3" t="s">
        <v>50</v>
      </c>
      <c r="B6" s="3"/>
      <c r="C6" s="3"/>
      <c r="D6" s="3"/>
      <c r="E6" s="3"/>
      <c r="F6" s="3"/>
      <c r="G6" s="3"/>
      <c r="H6" s="3"/>
    </row>
    <row r="7" customFormat="false" ht="14.05" hidden="false" customHeight="false" outlineLevel="0" collapsed="false">
      <c r="A7" s="87"/>
      <c r="B7" s="87"/>
      <c r="C7" s="87"/>
      <c r="D7" s="87"/>
      <c r="E7" s="87"/>
      <c r="F7" s="87"/>
      <c r="G7" s="88"/>
    </row>
    <row r="8" customFormat="false" ht="14.05" hidden="false" customHeight="false" outlineLevel="0" collapsed="false">
      <c r="A8" s="89" t="s">
        <v>51</v>
      </c>
      <c r="B8" s="87"/>
      <c r="C8" s="87"/>
      <c r="D8" s="87"/>
      <c r="E8" s="87"/>
      <c r="F8" s="87"/>
      <c r="G8" s="88"/>
    </row>
    <row r="9" customFormat="false" ht="60" hidden="false" customHeight="true" outlineLevel="0" collapsed="false">
      <c r="A9" s="84" t="s">
        <v>52</v>
      </c>
      <c r="B9" s="84"/>
      <c r="C9" s="84"/>
      <c r="D9" s="84"/>
      <c r="E9" s="84"/>
      <c r="F9" s="84"/>
      <c r="G9" s="84"/>
      <c r="H9" s="84"/>
    </row>
    <row r="10" customFormat="false" ht="45" hidden="false" customHeight="true" outlineLevel="0" collapsed="false">
      <c r="A10" s="84" t="s">
        <v>53</v>
      </c>
      <c r="B10" s="84"/>
      <c r="C10" s="84"/>
      <c r="D10" s="84"/>
      <c r="E10" s="84"/>
      <c r="F10" s="84"/>
      <c r="G10" s="84"/>
      <c r="H10" s="84"/>
    </row>
    <row r="11" customFormat="false" ht="14.05" hidden="false" customHeight="false" outlineLevel="0" collapsed="false">
      <c r="A11" s="85"/>
      <c r="B11" s="85"/>
      <c r="C11" s="85"/>
      <c r="D11" s="85"/>
      <c r="E11" s="85"/>
      <c r="F11" s="85"/>
      <c r="G11" s="85"/>
    </row>
    <row r="12" customFormat="false" ht="14.05" hidden="false" customHeight="false" outlineLevel="0" collapsed="false">
      <c r="A12" s="86" t="s">
        <v>54</v>
      </c>
      <c r="B12" s="85"/>
      <c r="C12" s="85"/>
      <c r="D12" s="85"/>
      <c r="E12" s="85"/>
      <c r="F12" s="85"/>
      <c r="G12" s="85"/>
    </row>
    <row r="13" customFormat="false" ht="14.05" hidden="false" customHeight="false" outlineLevel="0" collapsed="false">
      <c r="A13" s="90" t="s">
        <v>55</v>
      </c>
      <c r="B13" s="85"/>
      <c r="C13" s="85"/>
      <c r="D13" s="85"/>
      <c r="E13" s="85"/>
      <c r="F13" s="85"/>
      <c r="G13" s="85"/>
    </row>
    <row r="14" customFormat="false" ht="14.05" hidden="false" customHeight="false" outlineLevel="0" collapsed="false">
      <c r="A14" s="90" t="s">
        <v>56</v>
      </c>
      <c r="B14" s="85"/>
      <c r="C14" s="85"/>
      <c r="D14" s="85"/>
      <c r="E14" s="85"/>
      <c r="F14" s="85"/>
      <c r="G14" s="85"/>
    </row>
    <row r="15" customFormat="false" ht="14.05" hidden="false" customHeight="false" outlineLevel="0" collapsed="false">
      <c r="A15" s="91" t="s">
        <v>57</v>
      </c>
      <c r="B15" s="91"/>
      <c r="C15" s="91"/>
      <c r="D15" s="91"/>
      <c r="E15" s="91"/>
      <c r="F15" s="91"/>
      <c r="G15" s="91"/>
    </row>
    <row r="16" customFormat="false" ht="17.25" hidden="false" customHeight="true" outlineLevel="0" collapsed="false">
      <c r="A16" s="91" t="s">
        <v>58</v>
      </c>
      <c r="B16" s="91"/>
      <c r="C16" s="91"/>
      <c r="D16" s="91"/>
      <c r="E16" s="91"/>
      <c r="F16" s="91"/>
      <c r="G16" s="91"/>
    </row>
    <row r="17" customFormat="false" ht="21" hidden="false" customHeight="true" outlineLevel="0" collapsed="false">
      <c r="A17" s="92"/>
      <c r="B17" s="92"/>
      <c r="C17" s="92"/>
      <c r="D17" s="92"/>
      <c r="E17" s="92"/>
      <c r="F17" s="92"/>
      <c r="G17" s="92"/>
    </row>
    <row r="18" customFormat="false" ht="17.65" hidden="false" customHeight="false" outlineLevel="0" collapsed="false">
      <c r="B18" s="93" t="s">
        <v>27</v>
      </c>
      <c r="C18" s="94"/>
      <c r="D18" s="95"/>
      <c r="E18" s="96"/>
      <c r="F18" s="97" t="s">
        <v>28</v>
      </c>
      <c r="G18" s="98"/>
      <c r="H18" s="98"/>
    </row>
    <row r="19" s="99" customFormat="true" ht="41.75" hidden="false" customHeight="false" outlineLevel="0" collapsed="false">
      <c r="B19" s="100" t="s">
        <v>30</v>
      </c>
      <c r="C19" s="101" t="s">
        <v>59</v>
      </c>
      <c r="D19" s="101" t="s">
        <v>60</v>
      </c>
      <c r="E19" s="102"/>
      <c r="F19" s="100" t="s">
        <v>30</v>
      </c>
      <c r="G19" s="101" t="s">
        <v>59</v>
      </c>
      <c r="H19" s="101" t="s">
        <v>60</v>
      </c>
      <c r="I19" s="103"/>
      <c r="J19" s="103"/>
      <c r="K19" s="103"/>
      <c r="L19" s="103"/>
      <c r="M19" s="103"/>
    </row>
    <row r="20" s="99" customFormat="true" ht="14.05" hidden="false" customHeight="false" outlineLevel="0" collapsed="false">
      <c r="A20" s="56" t="str">
        <f aca="false">IF('Main calculation'!$B$19=2013, "Starting year --&gt;","" )</f>
        <v/>
      </c>
      <c r="B20" s="100" t="n">
        <f aca="false">'Main calculation'!C26</f>
        <v>2013</v>
      </c>
      <c r="C20" s="104" t="n">
        <f aca="false">60000*0.81</f>
        <v>48600</v>
      </c>
      <c r="D20" s="105"/>
      <c r="E20" s="106"/>
      <c r="F20" s="100" t="n">
        <f aca="false">B20</f>
        <v>2013</v>
      </c>
      <c r="G20" s="104" t="n">
        <f aca="false">450000*0.81</f>
        <v>364500</v>
      </c>
      <c r="H20" s="104" t="n">
        <v>0</v>
      </c>
      <c r="I20" s="103"/>
      <c r="J20" s="103"/>
      <c r="K20" s="103"/>
      <c r="L20" s="103"/>
      <c r="M20" s="103"/>
    </row>
    <row r="21" s="99" customFormat="true" ht="14.05" hidden="false" customHeight="false" outlineLevel="0" collapsed="false">
      <c r="A21" s="56" t="str">
        <f aca="false">IF('Main calculation'!$B$19=2014, "Starting year --&gt;","" )</f>
        <v>Starting year --&gt;</v>
      </c>
      <c r="B21" s="100" t="n">
        <f aca="false">'Main calculation'!C27</f>
        <v>2014</v>
      </c>
      <c r="C21" s="104" t="n">
        <v>0</v>
      </c>
      <c r="D21" s="104" t="n">
        <f aca="false">4000*0.81</f>
        <v>3240</v>
      </c>
      <c r="E21" s="106"/>
      <c r="F21" s="100" t="n">
        <f aca="false">B21</f>
        <v>2014</v>
      </c>
      <c r="G21" s="104"/>
      <c r="H21" s="104" t="n">
        <f aca="false">3000*0.81</f>
        <v>2430</v>
      </c>
      <c r="I21" s="103"/>
      <c r="J21" s="103"/>
      <c r="K21" s="103"/>
      <c r="L21" s="103"/>
      <c r="M21" s="103"/>
    </row>
    <row r="22" customFormat="false" ht="14.05" hidden="false" customHeight="false" outlineLevel="0" collapsed="false">
      <c r="A22" s="56" t="str">
        <f aca="false">IF('Main calculation'!$B$19=2015, "Starting year --&gt;","" )</f>
        <v/>
      </c>
      <c r="B22" s="100" t="n">
        <f aca="false">'Main calculation'!C28</f>
        <v>2015</v>
      </c>
      <c r="C22" s="104"/>
      <c r="D22" s="104" t="n">
        <f aca="false">4000*0.81</f>
        <v>3240</v>
      </c>
      <c r="E22" s="39"/>
      <c r="F22" s="100" t="n">
        <f aca="false">B22</f>
        <v>2015</v>
      </c>
      <c r="G22" s="104"/>
      <c r="H22" s="104" t="n">
        <f aca="false">3000*0.81</f>
        <v>2430</v>
      </c>
    </row>
    <row r="23" customFormat="false" ht="14.05" hidden="false" customHeight="false" outlineLevel="0" collapsed="false">
      <c r="A23" s="56" t="str">
        <f aca="false">IF('Main calculation'!$B$19=2016, "Starting year --&gt;","" )</f>
        <v/>
      </c>
      <c r="B23" s="100" t="n">
        <f aca="false">'Main calculation'!C29</f>
        <v>2016</v>
      </c>
      <c r="C23" s="104"/>
      <c r="D23" s="104" t="n">
        <f aca="false">4000*0.81</f>
        <v>3240</v>
      </c>
      <c r="E23" s="39"/>
      <c r="F23" s="100" t="n">
        <f aca="false">B23</f>
        <v>2016</v>
      </c>
      <c r="G23" s="104"/>
      <c r="H23" s="104" t="n">
        <f aca="false">3000*0.81</f>
        <v>2430</v>
      </c>
    </row>
    <row r="24" customFormat="false" ht="14.05" hidden="false" customHeight="false" outlineLevel="0" collapsed="false">
      <c r="A24" s="56" t="str">
        <f aca="false">IF('Main calculation'!$B$19=2017, "Starting year --&gt;","" )</f>
        <v/>
      </c>
      <c r="B24" s="100" t="n">
        <f aca="false">'Main calculation'!C30</f>
        <v>2017</v>
      </c>
      <c r="C24" s="104"/>
      <c r="D24" s="104" t="n">
        <f aca="false">4000*0.81</f>
        <v>3240</v>
      </c>
      <c r="E24" s="39"/>
      <c r="F24" s="100" t="n">
        <f aca="false">B24</f>
        <v>2017</v>
      </c>
      <c r="G24" s="104"/>
      <c r="H24" s="104" t="n">
        <f aca="false">3000*0.81</f>
        <v>2430</v>
      </c>
    </row>
    <row r="25" customFormat="false" ht="14.05" hidden="false" customHeight="false" outlineLevel="0" collapsed="false">
      <c r="A25" s="56" t="str">
        <f aca="false">IF('Main calculation'!$B$19=2018, "Starting year --&gt;","" )</f>
        <v/>
      </c>
      <c r="B25" s="100" t="n">
        <f aca="false">'Main calculation'!C31</f>
        <v>2018</v>
      </c>
      <c r="C25" s="104"/>
      <c r="D25" s="104" t="n">
        <f aca="false">4000*0.81</f>
        <v>3240</v>
      </c>
      <c r="E25" s="39"/>
      <c r="F25" s="100" t="n">
        <f aca="false">B25</f>
        <v>2018</v>
      </c>
      <c r="G25" s="104"/>
      <c r="H25" s="104" t="n">
        <f aca="false">3000*0.81</f>
        <v>2430</v>
      </c>
    </row>
    <row r="26" customFormat="false" ht="14.05" hidden="false" customHeight="false" outlineLevel="0" collapsed="false">
      <c r="A26" s="56" t="str">
        <f aca="false">IF('Main calculation'!$B$19=2019, "Starting year --&gt;","" )</f>
        <v/>
      </c>
      <c r="B26" s="100" t="n">
        <f aca="false">'Main calculation'!C32</f>
        <v>2019</v>
      </c>
      <c r="C26" s="104"/>
      <c r="D26" s="104" t="n">
        <f aca="false">4000*0.81</f>
        <v>3240</v>
      </c>
      <c r="E26" s="39"/>
      <c r="F26" s="100" t="n">
        <f aca="false">B26</f>
        <v>2019</v>
      </c>
      <c r="G26" s="104"/>
      <c r="H26" s="104" t="n">
        <f aca="false">3000*0.81</f>
        <v>2430</v>
      </c>
    </row>
    <row r="27" customFormat="false" ht="14.05" hidden="false" customHeight="false" outlineLevel="0" collapsed="false">
      <c r="A27" s="56" t="str">
        <f aca="false">IF('Main calculation'!$B$19=2020, "Starting year --&gt;","" )</f>
        <v/>
      </c>
      <c r="B27" s="100" t="n">
        <f aca="false">'Main calculation'!C33</f>
        <v>2020</v>
      </c>
      <c r="C27" s="104"/>
      <c r="D27" s="104" t="n">
        <f aca="false">4000*0.81</f>
        <v>3240</v>
      </c>
      <c r="E27" s="39"/>
      <c r="F27" s="100" t="n">
        <f aca="false">B27</f>
        <v>2020</v>
      </c>
      <c r="G27" s="104"/>
      <c r="H27" s="104" t="n">
        <f aca="false">3000*0.81</f>
        <v>2430</v>
      </c>
    </row>
    <row r="28" customFormat="false" ht="14.05" hidden="false" customHeight="false" outlineLevel="0" collapsed="false">
      <c r="A28" s="56" t="str">
        <f aca="false">IF('Main calculation'!$B$19=2021, "Starting year --&gt;","" )</f>
        <v/>
      </c>
      <c r="B28" s="100" t="n">
        <f aca="false">'Main calculation'!C34</f>
        <v>2021</v>
      </c>
      <c r="C28" s="104"/>
      <c r="D28" s="104" t="n">
        <f aca="false">4000*0.81</f>
        <v>3240</v>
      </c>
      <c r="E28" s="39"/>
      <c r="F28" s="100" t="n">
        <f aca="false">B28</f>
        <v>2021</v>
      </c>
      <c r="G28" s="104"/>
      <c r="H28" s="104" t="n">
        <f aca="false">3000*0.81</f>
        <v>2430</v>
      </c>
    </row>
    <row r="29" customFormat="false" ht="14.05" hidden="false" customHeight="false" outlineLevel="0" collapsed="false">
      <c r="A29" s="56" t="str">
        <f aca="false">IF('Main calculation'!$B$19=2022, "Starting year --&gt;","" )</f>
        <v/>
      </c>
      <c r="B29" s="100" t="n">
        <f aca="false">'Main calculation'!C35</f>
        <v>2022</v>
      </c>
      <c r="C29" s="104"/>
      <c r="D29" s="104" t="n">
        <f aca="false">4000*0.81</f>
        <v>3240</v>
      </c>
      <c r="E29" s="39"/>
      <c r="F29" s="100" t="n">
        <f aca="false">B29</f>
        <v>2022</v>
      </c>
      <c r="G29" s="104"/>
      <c r="H29" s="104" t="n">
        <f aca="false">3000*0.81</f>
        <v>2430</v>
      </c>
    </row>
    <row r="30" customFormat="false" ht="14.05" hidden="false" customHeight="false" outlineLevel="0" collapsed="false">
      <c r="A30" s="56" t="str">
        <f aca="false">IF('Main calculation'!$B$19=2023, "Starting year --&gt;","" )</f>
        <v/>
      </c>
      <c r="B30" s="100" t="n">
        <f aca="false">'Main calculation'!C36</f>
        <v>2023</v>
      </c>
      <c r="C30" s="104"/>
      <c r="D30" s="104" t="n">
        <f aca="false">4000*0.81</f>
        <v>3240</v>
      </c>
      <c r="E30" s="39"/>
      <c r="F30" s="100" t="n">
        <f aca="false">B30</f>
        <v>2023</v>
      </c>
      <c r="G30" s="104"/>
      <c r="H30" s="104" t="n">
        <f aca="false">3000*0.81</f>
        <v>2430</v>
      </c>
    </row>
    <row r="31" customFormat="false" ht="14.05" hidden="false" customHeight="false" outlineLevel="0" collapsed="false">
      <c r="A31" s="56" t="str">
        <f aca="false">IF('Main calculation'!$B$19=2024, "Starting year --&gt;","" )</f>
        <v/>
      </c>
      <c r="B31" s="100" t="n">
        <f aca="false">'Main calculation'!C37</f>
        <v>2024</v>
      </c>
      <c r="C31" s="104"/>
      <c r="D31" s="104" t="n">
        <f aca="false">4000*0.81</f>
        <v>3240</v>
      </c>
      <c r="E31" s="39"/>
      <c r="F31" s="100" t="n">
        <f aca="false">B31</f>
        <v>2024</v>
      </c>
      <c r="G31" s="104"/>
      <c r="H31" s="104" t="n">
        <f aca="false">3000*0.81</f>
        <v>2430</v>
      </c>
    </row>
    <row r="32" customFormat="false" ht="14.05" hidden="false" customHeight="false" outlineLevel="0" collapsed="false">
      <c r="A32" s="56" t="str">
        <f aca="false">IF('Main calculation'!$B$19=2025, "Starting year --&gt;","" )</f>
        <v/>
      </c>
      <c r="B32" s="100" t="n">
        <f aca="false">'Main calculation'!C38</f>
        <v>2025</v>
      </c>
      <c r="C32" s="104"/>
      <c r="D32" s="104" t="n">
        <f aca="false">4000*0.81</f>
        <v>3240</v>
      </c>
      <c r="E32" s="39"/>
      <c r="F32" s="100" t="n">
        <f aca="false">B32</f>
        <v>2025</v>
      </c>
      <c r="G32" s="104"/>
      <c r="H32" s="104" t="n">
        <f aca="false">3000*0.81</f>
        <v>2430</v>
      </c>
    </row>
    <row r="33" customFormat="false" ht="14.05" hidden="false" customHeight="false" outlineLevel="0" collapsed="false">
      <c r="A33" s="56" t="str">
        <f aca="false">IF('Main calculation'!$B$19=2026, "Starting year --&gt;","" )</f>
        <v/>
      </c>
      <c r="B33" s="100" t="n">
        <f aca="false">'Main calculation'!C39</f>
        <v>2026</v>
      </c>
      <c r="C33" s="104"/>
      <c r="D33" s="104" t="n">
        <f aca="false">4000*0.81</f>
        <v>3240</v>
      </c>
      <c r="E33" s="39"/>
      <c r="F33" s="100" t="n">
        <f aca="false">B33</f>
        <v>2026</v>
      </c>
      <c r="G33" s="104"/>
      <c r="H33" s="104" t="n">
        <f aca="false">3000*0.81</f>
        <v>2430</v>
      </c>
    </row>
    <row r="34" customFormat="false" ht="14.05" hidden="false" customHeight="false" outlineLevel="0" collapsed="false">
      <c r="A34" s="56" t="str">
        <f aca="false">IF('Main calculation'!$B$19=2027, "Starting year --&gt;","" )</f>
        <v/>
      </c>
      <c r="B34" s="100" t="n">
        <f aca="false">'Main calculation'!C40</f>
        <v>2027</v>
      </c>
      <c r="C34" s="104"/>
      <c r="D34" s="104" t="n">
        <f aca="false">4000*0.81</f>
        <v>3240</v>
      </c>
      <c r="E34" s="39"/>
      <c r="F34" s="100" t="n">
        <f aca="false">B34</f>
        <v>2027</v>
      </c>
      <c r="G34" s="104"/>
      <c r="H34" s="104" t="n">
        <f aca="false">3000*0.81</f>
        <v>2430</v>
      </c>
    </row>
    <row r="35" customFormat="false" ht="14.05" hidden="false" customHeight="false" outlineLevel="0" collapsed="false">
      <c r="A35" s="56" t="str">
        <f aca="false">IF('Main calculation'!$B$20=2028, "Finishing year --&gt;","" )</f>
        <v>Finishing year --&gt;</v>
      </c>
      <c r="B35" s="100" t="n">
        <f aca="false">'Main calculation'!C41</f>
        <v>2028</v>
      </c>
      <c r="C35" s="104"/>
      <c r="D35" s="104" t="n">
        <f aca="false">4000*0.81</f>
        <v>3240</v>
      </c>
      <c r="E35" s="39"/>
      <c r="F35" s="100" t="n">
        <f aca="false">B35</f>
        <v>2028</v>
      </c>
      <c r="G35" s="104"/>
      <c r="H35" s="104" t="n">
        <f aca="false">3000*0.81</f>
        <v>2430</v>
      </c>
    </row>
    <row r="36" customFormat="false" ht="14.05" hidden="false" customHeight="false" outlineLevel="0" collapsed="false">
      <c r="A36" s="56" t="str">
        <f aca="false">IF('Main calculation'!$B$20=2029, "Finishing year --&gt;","" )</f>
        <v/>
      </c>
      <c r="B36" s="100" t="n">
        <f aca="false">'Main calculation'!C42</f>
        <v>2029</v>
      </c>
      <c r="C36" s="104"/>
      <c r="D36" s="104"/>
      <c r="E36" s="39"/>
      <c r="F36" s="100" t="n">
        <f aca="false">B36</f>
        <v>2029</v>
      </c>
      <c r="G36" s="104"/>
      <c r="H36" s="104"/>
    </row>
    <row r="37" customFormat="false" ht="14.05" hidden="false" customHeight="false" outlineLevel="0" collapsed="false">
      <c r="A37" s="56" t="str">
        <f aca="false">IF('Main calculation'!$B$20=2030, "Finishing year --&gt;","" )</f>
        <v/>
      </c>
      <c r="B37" s="100" t="n">
        <f aca="false">'Main calculation'!C43</f>
        <v>2030</v>
      </c>
      <c r="C37" s="104"/>
      <c r="D37" s="104"/>
      <c r="E37" s="39"/>
      <c r="F37" s="100" t="n">
        <f aca="false">B37</f>
        <v>2030</v>
      </c>
      <c r="G37" s="104"/>
      <c r="H37" s="104"/>
    </row>
    <row r="38" customFormat="false" ht="14.05" hidden="false" customHeight="false" outlineLevel="0" collapsed="false">
      <c r="A38" s="56" t="str">
        <f aca="false">IF('Main calculation'!$B$20=2031, "Finishing year --&gt;","" )</f>
        <v/>
      </c>
    </row>
    <row r="39" customFormat="false" ht="14.05" hidden="false" customHeight="false" outlineLevel="0" collapsed="false">
      <c r="A39" s="56" t="str">
        <f aca="false">IF('Main calculation'!$B$20=2032, "Finishing year --&gt;","" )</f>
        <v/>
      </c>
    </row>
    <row r="40" customFormat="false" ht="14.05" hidden="false" customHeight="false" outlineLevel="0" collapsed="false">
      <c r="A40" s="56" t="str">
        <f aca="false">IF('Main calculation'!$B$20=2033, "Finishing year --&gt;","" )</f>
        <v/>
      </c>
    </row>
  </sheetData>
  <mergeCells count="5">
    <mergeCell ref="A3:H3"/>
    <mergeCell ref="A6:H6"/>
    <mergeCell ref="A9:H9"/>
    <mergeCell ref="A10:H10"/>
    <mergeCell ref="A17:G17"/>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AE46"/>
  <sheetViews>
    <sheetView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4.05" zeroHeight="false" outlineLevelRow="0" outlineLevelCol="0"/>
  <cols>
    <col collapsed="false" customWidth="true" hidden="false" outlineLevel="0" max="1" min="1" style="1" width="15.63"/>
    <col collapsed="false" customWidth="true" hidden="false" outlineLevel="0" max="3" min="2" style="1" width="15.75"/>
    <col collapsed="false" customWidth="true" hidden="false" outlineLevel="0" max="4" min="4" style="1" width="20.65"/>
    <col collapsed="false" customWidth="true" hidden="false" outlineLevel="0" max="7" min="5" style="1" width="15.75"/>
    <col collapsed="false" customWidth="true" hidden="false" outlineLevel="0" max="8" min="8" style="1" width="18.65"/>
    <col collapsed="false" customWidth="true" hidden="false" outlineLevel="0" max="10" min="9" style="1" width="15.75"/>
    <col collapsed="false" customWidth="true" hidden="false" outlineLevel="0" max="11" min="11" style="1" width="18.65"/>
    <col collapsed="false" customWidth="true" hidden="false" outlineLevel="0" max="14" min="12" style="1" width="15.75"/>
    <col collapsed="false" customWidth="true" hidden="false" outlineLevel="0" max="15" min="15" style="1" width="5.58"/>
    <col collapsed="false" customWidth="true" hidden="false" outlineLevel="0" max="17" min="16" style="1" width="15.75"/>
    <col collapsed="false" customWidth="true" hidden="false" outlineLevel="0" max="18" min="18" style="1" width="20.65"/>
    <col collapsed="false" customWidth="true" hidden="false" outlineLevel="0" max="21" min="19" style="1" width="15.75"/>
    <col collapsed="false" customWidth="true" hidden="false" outlineLevel="0" max="22" min="22" style="1" width="18.65"/>
    <col collapsed="false" customWidth="true" hidden="false" outlineLevel="0" max="24" min="23" style="1" width="15.75"/>
    <col collapsed="false" customWidth="true" hidden="false" outlineLevel="0" max="25" min="25" style="1" width="18.65"/>
    <col collapsed="false" customWidth="true" hidden="false" outlineLevel="0" max="28" min="26" style="1" width="15.75"/>
    <col collapsed="false" customWidth="true" hidden="false" outlineLevel="0" max="29" min="29" style="1" width="12.95"/>
    <col collapsed="false" customWidth="true" hidden="false" outlineLevel="0" max="30" min="30" style="1" width="10.05"/>
    <col collapsed="false" customWidth="true" hidden="false" outlineLevel="0" max="1025" min="31" style="1" width="8.71"/>
  </cols>
  <sheetData>
    <row r="1" customFormat="false" ht="17.65" hidden="false" customHeight="false" outlineLevel="0" collapsed="false">
      <c r="A1" s="82" t="s">
        <v>61</v>
      </c>
      <c r="B1" s="83"/>
      <c r="C1" s="83"/>
      <c r="D1" s="83"/>
      <c r="E1" s="83"/>
      <c r="F1" s="83"/>
      <c r="G1" s="83"/>
    </row>
    <row r="2" customFormat="false" ht="45" hidden="false" customHeight="true" outlineLevel="0" collapsed="false">
      <c r="A2" s="84" t="s">
        <v>62</v>
      </c>
      <c r="B2" s="84"/>
      <c r="C2" s="84"/>
      <c r="D2" s="84"/>
      <c r="E2" s="84"/>
      <c r="F2" s="84"/>
      <c r="G2" s="84"/>
      <c r="H2" s="84"/>
      <c r="I2" s="84"/>
      <c r="J2" s="107"/>
      <c r="K2" s="107"/>
      <c r="L2" s="107"/>
      <c r="M2" s="107"/>
      <c r="N2" s="107"/>
    </row>
    <row r="3" s="83" customFormat="true" ht="14.05" hidden="false" customHeight="false" outlineLevel="0" collapsed="false">
      <c r="A3" s="85"/>
      <c r="B3" s="85"/>
      <c r="C3" s="85"/>
      <c r="D3" s="85"/>
      <c r="E3" s="85"/>
      <c r="F3" s="85"/>
      <c r="G3" s="85"/>
      <c r="H3" s="108"/>
      <c r="I3" s="108"/>
      <c r="J3" s="108"/>
      <c r="K3" s="108"/>
    </row>
    <row r="4" s="83" customFormat="true" ht="14.05" hidden="false" customHeight="false" outlineLevel="0" collapsed="false">
      <c r="A4" s="86" t="s">
        <v>54</v>
      </c>
      <c r="B4" s="85"/>
      <c r="C4" s="85"/>
      <c r="D4" s="85"/>
      <c r="E4" s="85"/>
      <c r="F4" s="85"/>
      <c r="G4" s="85"/>
      <c r="H4" s="108"/>
      <c r="I4" s="108"/>
      <c r="J4" s="108"/>
      <c r="K4" s="108"/>
    </row>
    <row r="5" s="83" customFormat="true" ht="14.05" hidden="false" customHeight="false" outlineLevel="0" collapsed="false">
      <c r="A5" s="90" t="s">
        <v>63</v>
      </c>
      <c r="B5" s="85"/>
      <c r="C5" s="85"/>
      <c r="D5" s="85"/>
      <c r="E5" s="85"/>
      <c r="F5" s="85"/>
      <c r="G5" s="85"/>
      <c r="H5" s="108"/>
      <c r="I5" s="108"/>
      <c r="J5" s="108"/>
      <c r="K5" s="108"/>
    </row>
    <row r="6" s="83" customFormat="true" ht="14.05" hidden="false" customHeight="false" outlineLevel="0" collapsed="false">
      <c r="A6" s="90" t="s">
        <v>64</v>
      </c>
      <c r="B6" s="85"/>
      <c r="C6" s="85"/>
      <c r="D6" s="85"/>
      <c r="E6" s="85"/>
      <c r="F6" s="85"/>
      <c r="G6" s="85"/>
      <c r="H6" s="108"/>
      <c r="I6" s="108"/>
      <c r="J6" s="108"/>
      <c r="K6" s="108"/>
    </row>
    <row r="7" s="83" customFormat="true" ht="14.05" hidden="false" customHeight="false" outlineLevel="0" collapsed="false">
      <c r="A7" s="90" t="s">
        <v>65</v>
      </c>
      <c r="B7" s="85"/>
      <c r="C7" s="85"/>
      <c r="D7" s="85"/>
      <c r="E7" s="85"/>
      <c r="F7" s="85"/>
      <c r="G7" s="85"/>
      <c r="H7" s="108"/>
      <c r="I7" s="108"/>
      <c r="J7" s="108"/>
      <c r="K7" s="108"/>
    </row>
    <row r="8" s="83" customFormat="true" ht="14.05" hidden="false" customHeight="false" outlineLevel="0" collapsed="false">
      <c r="A8" s="90"/>
      <c r="B8" s="85"/>
      <c r="C8" s="85"/>
      <c r="D8" s="85"/>
      <c r="E8" s="85"/>
      <c r="F8" s="85"/>
      <c r="G8" s="85"/>
      <c r="H8" s="108"/>
      <c r="I8" s="108"/>
      <c r="J8" s="108"/>
      <c r="K8" s="108"/>
    </row>
    <row r="9" customFormat="false" ht="14.05" hidden="false" customHeight="false" outlineLevel="0" collapsed="false">
      <c r="A9" s="1" t="s">
        <v>66</v>
      </c>
    </row>
    <row r="10" customFormat="false" ht="14.05" hidden="false" customHeight="false" outlineLevel="0" collapsed="false">
      <c r="A10" s="1" t="s">
        <v>67</v>
      </c>
    </row>
    <row r="12" customFormat="false" ht="14.05" hidden="false" customHeight="false" outlineLevel="0" collapsed="false">
      <c r="A12" s="109"/>
      <c r="B12" s="110" t="str">
        <f aca="false">HLOOKUP('Main calculation'!$B$17,'Monetary Values'!$D$4:$G$68,14,0)</f>
        <v>EURg/h</v>
      </c>
      <c r="C12" s="110"/>
      <c r="D12" s="111" t="str">
        <f aca="false">HLOOKUP('Main calculation'!$B$17,'Monetary Values'!$D$4:$G$68,14,0)</f>
        <v>EURg/h</v>
      </c>
      <c r="E12" s="111"/>
    </row>
    <row r="13" customFormat="false" ht="14.05" hidden="false" customHeight="false" outlineLevel="0" collapsed="false">
      <c r="A13" s="112" t="s">
        <v>68</v>
      </c>
      <c r="B13" s="113" t="s">
        <v>69</v>
      </c>
      <c r="C13" s="114" t="s">
        <v>70</v>
      </c>
      <c r="D13" s="115" t="s">
        <v>71</v>
      </c>
      <c r="E13" s="115"/>
    </row>
    <row r="14" customFormat="false" ht="14.05" hidden="false" customHeight="false" outlineLevel="0" collapsed="false">
      <c r="A14" s="116" t="s">
        <v>72</v>
      </c>
      <c r="B14" s="117" t="n">
        <f aca="false">HLOOKUP('Main calculation'!$B$17,'Monetary Values'!$D$4:$G$68,15,0)</f>
        <v>12.0186460077446</v>
      </c>
      <c r="C14" s="118" t="s">
        <v>72</v>
      </c>
      <c r="D14" s="119" t="n">
        <f aca="false">B14</f>
        <v>12.0186460077446</v>
      </c>
      <c r="E14" s="119"/>
      <c r="F14" s="120"/>
      <c r="G14" s="120"/>
      <c r="H14" s="120"/>
      <c r="I14" s="120"/>
      <c r="J14" s="120"/>
      <c r="K14" s="120"/>
      <c r="L14" s="120"/>
      <c r="M14" s="120"/>
      <c r="N14" s="120"/>
      <c r="O14" s="120"/>
      <c r="P14" s="120"/>
    </row>
    <row r="15" customFormat="false" ht="14.05" hidden="false" customHeight="false" outlineLevel="0" collapsed="false">
      <c r="A15" s="112" t="s">
        <v>73</v>
      </c>
      <c r="B15" s="121" t="n">
        <f aca="false">HLOOKUP('Main calculation'!$B$17,'Monetary Values'!$D$4:$G$68,16,0)</f>
        <v>4.45135037323874</v>
      </c>
      <c r="C15" s="114" t="s">
        <v>74</v>
      </c>
      <c r="D15" s="119" t="n">
        <f aca="false">B15</f>
        <v>4.45135037323874</v>
      </c>
      <c r="E15" s="119"/>
      <c r="F15" s="120"/>
      <c r="G15" s="120"/>
      <c r="H15" s="120"/>
      <c r="I15" s="120"/>
      <c r="J15" s="120"/>
      <c r="K15" s="120"/>
      <c r="L15" s="120"/>
      <c r="M15" s="120"/>
      <c r="N15" s="120"/>
      <c r="O15" s="120"/>
      <c r="P15" s="120"/>
    </row>
    <row r="16" customFormat="false" ht="14.05" hidden="true" customHeight="false" outlineLevel="0" collapsed="false">
      <c r="A16" s="112" t="s">
        <v>75</v>
      </c>
      <c r="B16" s="121" t="n">
        <f aca="false">HLOOKUP('Main calculation'!$B$17,'Monetary Values'!$D$4:$G$68,17,0)</f>
        <v>2.22567518661937</v>
      </c>
      <c r="C16" s="122"/>
      <c r="D16" s="123"/>
      <c r="E16" s="123"/>
      <c r="F16" s="120"/>
      <c r="G16" s="120"/>
      <c r="H16" s="120"/>
      <c r="I16" s="120"/>
      <c r="J16" s="120"/>
      <c r="K16" s="120"/>
      <c r="L16" s="120"/>
      <c r="M16" s="120"/>
      <c r="N16" s="120"/>
      <c r="O16" s="120"/>
      <c r="P16" s="120"/>
    </row>
    <row r="17" customFormat="false" ht="14.05" hidden="true" customHeight="false" outlineLevel="0" collapsed="false">
      <c r="A17" s="112" t="s">
        <v>76</v>
      </c>
      <c r="B17" s="121" t="n">
        <f aca="false">HLOOKUP('Main calculation'!$B$17,'Monetary Values'!$D$4:$G$68,18,0)</f>
        <v>8.90270074647748</v>
      </c>
      <c r="C17" s="122"/>
      <c r="D17" s="123"/>
      <c r="E17" s="123"/>
      <c r="F17" s="120"/>
      <c r="G17" s="120"/>
      <c r="H17" s="120"/>
      <c r="I17" s="120"/>
      <c r="J17" s="120"/>
      <c r="K17" s="120"/>
      <c r="L17" s="120"/>
      <c r="M17" s="120"/>
      <c r="N17" s="120"/>
      <c r="O17" s="120"/>
      <c r="P17" s="120"/>
    </row>
    <row r="18" customFormat="false" ht="14.05" hidden="false" customHeight="false" outlineLevel="0" collapsed="false">
      <c r="A18" s="112" t="s">
        <v>77</v>
      </c>
      <c r="B18" s="121" t="n">
        <f aca="false">HLOOKUP('Main calculation'!$B$17,'Monetary Values'!$D$4:$G$68,19,0)</f>
        <v>16.6925638996453</v>
      </c>
      <c r="C18" s="114" t="s">
        <v>78</v>
      </c>
      <c r="D18" s="119" t="n">
        <f aca="false">(B18+B19)/2</f>
        <v>15.0233075096808</v>
      </c>
      <c r="E18" s="119"/>
    </row>
    <row r="19" customFormat="false" ht="14.05" hidden="true" customHeight="false" outlineLevel="0" collapsed="false">
      <c r="A19" s="112" t="s">
        <v>79</v>
      </c>
      <c r="B19" s="121" t="n">
        <f aca="false">HLOOKUP('Main calculation'!$B$17,'Monetary Values'!$D$4:$G$68,20,0)</f>
        <v>13.3540511197162</v>
      </c>
      <c r="C19" s="122"/>
      <c r="D19" s="123"/>
      <c r="E19" s="123"/>
    </row>
    <row r="20" customFormat="false" ht="14.05" hidden="false" customHeight="false" outlineLevel="0" collapsed="false">
      <c r="A20" s="124" t="s">
        <v>80</v>
      </c>
      <c r="B20" s="125" t="n">
        <f aca="false">HLOOKUP('Main calculation'!$B$17,'Monetary Values'!$D$4:$G$68,21,0)</f>
        <v>5.6754717258794</v>
      </c>
      <c r="C20" s="126" t="s">
        <v>80</v>
      </c>
      <c r="D20" s="127" t="n">
        <f aca="false">AVERAGE(B20,B21)</f>
        <v>8.51320758881909</v>
      </c>
      <c r="E20" s="127"/>
    </row>
    <row r="21" customFormat="false" ht="14.05" hidden="true" customHeight="false" outlineLevel="0" collapsed="false">
      <c r="A21" s="128" t="s">
        <v>81</v>
      </c>
      <c r="B21" s="129" t="n">
        <f aca="false">HLOOKUP('Main calculation'!$B$17,'Monetary Values'!$D$4:$G$68,22,0)</f>
        <v>11.3509434517588</v>
      </c>
      <c r="C21" s="130"/>
      <c r="D21" s="131"/>
    </row>
    <row r="22" customFormat="false" ht="14.05" hidden="false" customHeight="false" outlineLevel="0" collapsed="false">
      <c r="A22" s="132"/>
    </row>
    <row r="23" customFormat="false" ht="17.65" hidden="false" customHeight="false" outlineLevel="0" collapsed="false">
      <c r="B23" s="133" t="s">
        <v>27</v>
      </c>
      <c r="C23" s="133"/>
      <c r="D23" s="134"/>
      <c r="E23" s="134"/>
      <c r="F23" s="134"/>
      <c r="G23" s="134"/>
      <c r="H23" s="134"/>
      <c r="I23" s="134"/>
      <c r="J23" s="134"/>
      <c r="K23" s="134"/>
      <c r="L23" s="134"/>
      <c r="M23" s="134"/>
      <c r="N23" s="134"/>
      <c r="O23" s="39"/>
      <c r="P23" s="135" t="s">
        <v>28</v>
      </c>
      <c r="Q23" s="136"/>
      <c r="R23" s="136"/>
      <c r="S23" s="136"/>
      <c r="T23" s="136"/>
      <c r="U23" s="137"/>
      <c r="V23" s="136"/>
      <c r="W23" s="136"/>
      <c r="X23" s="136"/>
      <c r="Y23" s="136"/>
      <c r="Z23" s="136"/>
      <c r="AA23" s="136"/>
      <c r="AB23" s="138"/>
    </row>
    <row r="24" customFormat="false" ht="14.05" hidden="false" customHeight="false" outlineLevel="0" collapsed="false">
      <c r="B24" s="11"/>
      <c r="C24" s="139" t="s">
        <v>82</v>
      </c>
      <c r="D24" s="140"/>
      <c r="E24" s="139" t="s">
        <v>83</v>
      </c>
      <c r="F24" s="141"/>
      <c r="G24" s="139" t="s">
        <v>84</v>
      </c>
      <c r="H24" s="141"/>
      <c r="I24" s="141"/>
      <c r="J24" s="139" t="s">
        <v>85</v>
      </c>
      <c r="K24" s="141"/>
      <c r="L24" s="140"/>
      <c r="M24" s="142"/>
      <c r="N24" s="143"/>
      <c r="O24" s="39"/>
      <c r="P24" s="144"/>
      <c r="Q24" s="139" t="s">
        <v>82</v>
      </c>
      <c r="R24" s="140"/>
      <c r="S24" s="139" t="s">
        <v>83</v>
      </c>
      <c r="T24" s="141"/>
      <c r="U24" s="139" t="s">
        <v>84</v>
      </c>
      <c r="V24" s="141"/>
      <c r="W24" s="141"/>
      <c r="X24" s="139" t="s">
        <v>85</v>
      </c>
      <c r="Y24" s="141"/>
      <c r="Z24" s="140"/>
      <c r="AA24" s="11"/>
      <c r="AB24" s="144"/>
      <c r="AC24" s="145"/>
    </row>
    <row r="25" customFormat="false" ht="68.65" hidden="false" customHeight="false" outlineLevel="0" collapsed="false">
      <c r="B25" s="100" t="s">
        <v>30</v>
      </c>
      <c r="C25" s="146" t="s">
        <v>86</v>
      </c>
      <c r="D25" s="147" t="s">
        <v>87</v>
      </c>
      <c r="E25" s="148" t="s">
        <v>88</v>
      </c>
      <c r="F25" s="101" t="s">
        <v>89</v>
      </c>
      <c r="G25" s="148" t="s">
        <v>90</v>
      </c>
      <c r="H25" s="101" t="s">
        <v>91</v>
      </c>
      <c r="I25" s="101" t="s">
        <v>92</v>
      </c>
      <c r="J25" s="148" t="s">
        <v>93</v>
      </c>
      <c r="K25" s="101" t="s">
        <v>94</v>
      </c>
      <c r="L25" s="149" t="s">
        <v>92</v>
      </c>
      <c r="M25" s="148" t="s">
        <v>24</v>
      </c>
      <c r="N25" s="101" t="s">
        <v>95</v>
      </c>
      <c r="O25" s="51"/>
      <c r="P25" s="150" t="s">
        <v>30</v>
      </c>
      <c r="Q25" s="151" t="s">
        <v>86</v>
      </c>
      <c r="R25" s="152" t="s">
        <v>87</v>
      </c>
      <c r="S25" s="153" t="s">
        <v>88</v>
      </c>
      <c r="T25" s="3" t="s">
        <v>89</v>
      </c>
      <c r="U25" s="153" t="s">
        <v>90</v>
      </c>
      <c r="V25" s="3" t="s">
        <v>91</v>
      </c>
      <c r="W25" s="3" t="s">
        <v>92</v>
      </c>
      <c r="X25" s="153" t="s">
        <v>93</v>
      </c>
      <c r="Y25" s="3" t="s">
        <v>94</v>
      </c>
      <c r="Z25" s="154" t="s">
        <v>92</v>
      </c>
      <c r="AA25" s="153" t="s">
        <v>24</v>
      </c>
      <c r="AB25" s="154" t="s">
        <v>95</v>
      </c>
      <c r="AC25" s="155"/>
      <c r="AD25" s="132"/>
      <c r="AE25" s="132"/>
    </row>
    <row r="26" customFormat="false" ht="14.05" hidden="false" customHeight="false" outlineLevel="0" collapsed="false">
      <c r="A26" s="56" t="str">
        <f aca="false">IF('Main calculation'!$B$19=2013, "Starting year --&gt;","" )</f>
        <v/>
      </c>
      <c r="B26" s="100" t="n">
        <f aca="false">'Main calculation'!C26</f>
        <v>2013</v>
      </c>
      <c r="C26" s="156"/>
      <c r="D26" s="157"/>
      <c r="E26" s="156"/>
      <c r="F26" s="157"/>
      <c r="G26" s="158"/>
      <c r="H26" s="159"/>
      <c r="I26" s="157"/>
      <c r="J26" s="158"/>
      <c r="K26" s="159"/>
      <c r="L26" s="157"/>
      <c r="M26" s="100" t="n">
        <f aca="false">'Main calculation'!$B$21</f>
        <v>300</v>
      </c>
      <c r="N26" s="160" t="n">
        <f aca="false">(C26*D26*$D$20+E26*F26*$D$18+G26*H26*I26*$D$15+J26*K26*L26*$D$14)*M26/60</f>
        <v>0</v>
      </c>
      <c r="O26" s="39"/>
      <c r="P26" s="100" t="n">
        <f aca="false">'Main calculation'!C26</f>
        <v>2013</v>
      </c>
      <c r="Q26" s="156"/>
      <c r="R26" s="161"/>
      <c r="S26" s="156"/>
      <c r="T26" s="157"/>
      <c r="U26" s="158"/>
      <c r="V26" s="159"/>
      <c r="W26" s="161"/>
      <c r="X26" s="156"/>
      <c r="Y26" s="159"/>
      <c r="Z26" s="157"/>
      <c r="AA26" s="100" t="n">
        <f aca="false">'Main calculation'!$B$21</f>
        <v>300</v>
      </c>
      <c r="AB26" s="162" t="n">
        <f aca="false">($D$20*Q26*R26+$D$18*S26*T26+$D$15*U26*V26*W26+$D$14*X26*Y26*Z26)*AA26/60</f>
        <v>0</v>
      </c>
      <c r="AC26" s="155"/>
      <c r="AD26" s="132"/>
      <c r="AE26" s="132"/>
    </row>
    <row r="27" customFormat="false" ht="14.05" hidden="false" customHeight="false" outlineLevel="0" collapsed="false">
      <c r="A27" s="56" t="str">
        <f aca="false">IF('Main calculation'!$B$19=2014, "Starting year --&gt;","" )</f>
        <v>Starting year --&gt;</v>
      </c>
      <c r="B27" s="100" t="n">
        <f aca="false">'Main calculation'!C27</f>
        <v>2014</v>
      </c>
      <c r="C27" s="156"/>
      <c r="D27" s="157"/>
      <c r="E27" s="156"/>
      <c r="F27" s="157"/>
      <c r="G27" s="158" t="n">
        <v>150</v>
      </c>
      <c r="H27" s="159" t="n">
        <v>2.53</v>
      </c>
      <c r="I27" s="157" t="n">
        <v>17</v>
      </c>
      <c r="J27" s="158" t="n">
        <v>7000</v>
      </c>
      <c r="K27" s="159" t="n">
        <v>1.2</v>
      </c>
      <c r="L27" s="157" t="n">
        <v>1.2</v>
      </c>
      <c r="M27" s="100" t="n">
        <f aca="false">'Main calculation'!$B$21</f>
        <v>300</v>
      </c>
      <c r="N27" s="163" t="n">
        <f aca="false">(C27*D27*$D$20+E27*F27*$D$18+G27*H27*I27*$D$15+J27*K27*L27*$D$14)*M27/60</f>
        <v>749329.193455076</v>
      </c>
      <c r="O27" s="39"/>
      <c r="P27" s="100" t="n">
        <f aca="false">'Main calculation'!C27</f>
        <v>2014</v>
      </c>
      <c r="Q27" s="156"/>
      <c r="R27" s="161"/>
      <c r="S27" s="156"/>
      <c r="T27" s="157"/>
      <c r="U27" s="158" t="n">
        <v>150</v>
      </c>
      <c r="V27" s="159" t="n">
        <v>2.09</v>
      </c>
      <c r="W27" s="161" t="n">
        <v>17</v>
      </c>
      <c r="X27" s="156" t="n">
        <v>7000</v>
      </c>
      <c r="Y27" s="159" t="n">
        <v>1.5</v>
      </c>
      <c r="Z27" s="157" t="n">
        <v>1.2</v>
      </c>
      <c r="AA27" s="100" t="n">
        <f aca="false">'Main calculation'!$B$21</f>
        <v>300</v>
      </c>
      <c r="AB27" s="162" t="n">
        <f aca="false">($D$20*Q27*R27+$D$18*S27*T27+$D$15*U27*V27*W27+$D$14*X27*Y27*Z27)*AA27/60</f>
        <v>875792.057558789</v>
      </c>
      <c r="AC27" s="155"/>
      <c r="AD27" s="132"/>
      <c r="AE27" s="132"/>
    </row>
    <row r="28" customFormat="false" ht="14.05" hidden="false" customHeight="false" outlineLevel="0" collapsed="false">
      <c r="A28" s="56" t="str">
        <f aca="false">IF('Main calculation'!$B$19=2015, "Starting year --&gt;","" )</f>
        <v/>
      </c>
      <c r="B28" s="100" t="n">
        <f aca="false">'Main calculation'!C28</f>
        <v>2015</v>
      </c>
      <c r="C28" s="156"/>
      <c r="D28" s="157"/>
      <c r="E28" s="156"/>
      <c r="F28" s="157"/>
      <c r="G28" s="158" t="n">
        <v>150</v>
      </c>
      <c r="H28" s="159" t="n">
        <v>2.53</v>
      </c>
      <c r="I28" s="157" t="n">
        <v>17</v>
      </c>
      <c r="J28" s="158" t="n">
        <v>7000</v>
      </c>
      <c r="K28" s="159" t="n">
        <v>1.2</v>
      </c>
      <c r="L28" s="157" t="n">
        <v>1.2</v>
      </c>
      <c r="M28" s="100" t="n">
        <f aca="false">'Main calculation'!$B$21</f>
        <v>300</v>
      </c>
      <c r="N28" s="163" t="n">
        <f aca="false">(C28*D28*$D$20+E28*F28*$D$18+G28*H28*I28*$D$15+J28*K28*L28*$D$14)*M28/60</f>
        <v>749329.193455076</v>
      </c>
      <c r="O28" s="39"/>
      <c r="P28" s="100" t="n">
        <f aca="false">'Main calculation'!C28</f>
        <v>2015</v>
      </c>
      <c r="Q28" s="156"/>
      <c r="R28" s="161"/>
      <c r="S28" s="156"/>
      <c r="T28" s="157"/>
      <c r="U28" s="158" t="n">
        <v>150</v>
      </c>
      <c r="V28" s="159" t="n">
        <v>2.09</v>
      </c>
      <c r="W28" s="161" t="n">
        <v>17</v>
      </c>
      <c r="X28" s="156" t="n">
        <v>7000</v>
      </c>
      <c r="Y28" s="159" t="n">
        <v>1.5</v>
      </c>
      <c r="Z28" s="157" t="n">
        <v>1.2</v>
      </c>
      <c r="AA28" s="100" t="n">
        <f aca="false">'Main calculation'!$B$21</f>
        <v>300</v>
      </c>
      <c r="AB28" s="164" t="n">
        <f aca="false">($D$20*Q28*R28+$D$18*S28*T28+$D$15*U28*V28*W28+$D$14*X28*Y28*Z28)*AA28/60</f>
        <v>875792.057558789</v>
      </c>
      <c r="AC28" s="165"/>
      <c r="AD28" s="166"/>
      <c r="AE28" s="167"/>
    </row>
    <row r="29" customFormat="false" ht="14.05" hidden="false" customHeight="false" outlineLevel="0" collapsed="false">
      <c r="A29" s="56" t="str">
        <f aca="false">IF('Main calculation'!$B$19=2016, "Starting year --&gt;","" )</f>
        <v/>
      </c>
      <c r="B29" s="100" t="n">
        <f aca="false">'Main calculation'!C29</f>
        <v>2016</v>
      </c>
      <c r="C29" s="156"/>
      <c r="D29" s="157"/>
      <c r="E29" s="156"/>
      <c r="F29" s="157"/>
      <c r="G29" s="158" t="n">
        <v>150</v>
      </c>
      <c r="H29" s="159" t="n">
        <v>2.53</v>
      </c>
      <c r="I29" s="157" t="n">
        <v>17</v>
      </c>
      <c r="J29" s="158" t="n">
        <v>7000</v>
      </c>
      <c r="K29" s="159" t="n">
        <v>1.2</v>
      </c>
      <c r="L29" s="157" t="n">
        <v>1.2</v>
      </c>
      <c r="M29" s="100" t="n">
        <f aca="false">'Main calculation'!$B$21</f>
        <v>300</v>
      </c>
      <c r="N29" s="168" t="n">
        <f aca="false">($D$20*C29*D29+$D$18*E29*F29+$D$15*G29*H29*I29+$D$14*J29*K29*L29)*M29/60</f>
        <v>749329.193455076</v>
      </c>
      <c r="O29" s="39"/>
      <c r="P29" s="100" t="n">
        <f aca="false">'Main calculation'!C29</f>
        <v>2016</v>
      </c>
      <c r="Q29" s="156"/>
      <c r="R29" s="161"/>
      <c r="S29" s="156"/>
      <c r="T29" s="157"/>
      <c r="U29" s="158" t="n">
        <v>150</v>
      </c>
      <c r="V29" s="159" t="n">
        <v>2.09</v>
      </c>
      <c r="W29" s="161" t="n">
        <v>17</v>
      </c>
      <c r="X29" s="156" t="n">
        <v>7000</v>
      </c>
      <c r="Y29" s="159" t="n">
        <v>1.5</v>
      </c>
      <c r="Z29" s="157" t="n">
        <v>1.2</v>
      </c>
      <c r="AA29" s="100" t="n">
        <f aca="false">'Main calculation'!$B$21</f>
        <v>300</v>
      </c>
      <c r="AB29" s="164" t="n">
        <f aca="false">($D$20*Q29*R29+$D$18*S29*T29+$D$15*U29*V29*W29+$D$14*X29*Y29*Z29)*AA29/60</f>
        <v>875792.057558789</v>
      </c>
      <c r="AC29" s="165"/>
      <c r="AD29" s="166"/>
      <c r="AE29" s="166"/>
    </row>
    <row r="30" customFormat="false" ht="14.05" hidden="false" customHeight="false" outlineLevel="0" collapsed="false">
      <c r="A30" s="56" t="str">
        <f aca="false">IF('Main calculation'!$B$19=2017, "Starting year --&gt;","" )</f>
        <v/>
      </c>
      <c r="B30" s="100" t="n">
        <f aca="false">'Main calculation'!C30</f>
        <v>2017</v>
      </c>
      <c r="C30" s="156"/>
      <c r="D30" s="157"/>
      <c r="E30" s="156"/>
      <c r="F30" s="157"/>
      <c r="G30" s="158" t="n">
        <v>150</v>
      </c>
      <c r="H30" s="159" t="n">
        <v>2.53</v>
      </c>
      <c r="I30" s="157" t="n">
        <v>17</v>
      </c>
      <c r="J30" s="158" t="n">
        <v>7000</v>
      </c>
      <c r="K30" s="159" t="n">
        <v>1.2</v>
      </c>
      <c r="L30" s="157" t="n">
        <v>1.2</v>
      </c>
      <c r="M30" s="100" t="n">
        <f aca="false">'Main calculation'!$B$21</f>
        <v>300</v>
      </c>
      <c r="N30" s="168" t="n">
        <f aca="false">($D$20*C30*D30+$D$18*E30*F30+$D$15*G30*H30*I30+$D$14*J30*K30*L30)*M30/60</f>
        <v>749329.193455076</v>
      </c>
      <c r="O30" s="39"/>
      <c r="P30" s="100" t="n">
        <f aca="false">'Main calculation'!C30</f>
        <v>2017</v>
      </c>
      <c r="Q30" s="156"/>
      <c r="R30" s="161"/>
      <c r="S30" s="156"/>
      <c r="T30" s="157"/>
      <c r="U30" s="158" t="n">
        <v>150</v>
      </c>
      <c r="V30" s="159" t="n">
        <v>2.09</v>
      </c>
      <c r="W30" s="161" t="n">
        <v>17</v>
      </c>
      <c r="X30" s="156" t="n">
        <v>7000</v>
      </c>
      <c r="Y30" s="159" t="n">
        <v>1.5</v>
      </c>
      <c r="Z30" s="157" t="n">
        <v>1.2</v>
      </c>
      <c r="AA30" s="100" t="n">
        <f aca="false">'Main calculation'!$B$21</f>
        <v>300</v>
      </c>
      <c r="AB30" s="164" t="n">
        <f aca="false">($D$20*Q30*R30+$D$18*S30*T30+$D$15*U30*V30*W30+$D$14*X30*Y30*Z30)*AA30/60</f>
        <v>875792.057558789</v>
      </c>
      <c r="AC30" s="165"/>
      <c r="AD30" s="166"/>
      <c r="AE30" s="166"/>
    </row>
    <row r="31" customFormat="false" ht="14.05" hidden="false" customHeight="false" outlineLevel="0" collapsed="false">
      <c r="A31" s="56" t="str">
        <f aca="false">IF('Main calculation'!$B$19=2018, "Starting year --&gt;","" )</f>
        <v/>
      </c>
      <c r="B31" s="100" t="n">
        <f aca="false">'Main calculation'!C31</f>
        <v>2018</v>
      </c>
      <c r="C31" s="156"/>
      <c r="D31" s="157"/>
      <c r="E31" s="156"/>
      <c r="F31" s="157"/>
      <c r="G31" s="158" t="n">
        <v>150</v>
      </c>
      <c r="H31" s="159" t="n">
        <v>2.53</v>
      </c>
      <c r="I31" s="157" t="n">
        <v>17</v>
      </c>
      <c r="J31" s="158" t="n">
        <v>7000</v>
      </c>
      <c r="K31" s="159" t="n">
        <v>1.2</v>
      </c>
      <c r="L31" s="157" t="n">
        <v>1.2</v>
      </c>
      <c r="M31" s="100" t="n">
        <f aca="false">'Main calculation'!$B$21</f>
        <v>300</v>
      </c>
      <c r="N31" s="168" t="n">
        <f aca="false">($D$20*C31*D31+$D$18*E31*F31+$D$15*G31*H31*I31+$D$14*J31*K31*L31)*M31/60</f>
        <v>749329.193455076</v>
      </c>
      <c r="O31" s="39"/>
      <c r="P31" s="100" t="n">
        <f aca="false">'Main calculation'!C31</f>
        <v>2018</v>
      </c>
      <c r="Q31" s="156"/>
      <c r="R31" s="161"/>
      <c r="S31" s="156"/>
      <c r="T31" s="157"/>
      <c r="U31" s="158" t="n">
        <v>150</v>
      </c>
      <c r="V31" s="159" t="n">
        <v>2.09</v>
      </c>
      <c r="W31" s="161" t="n">
        <v>17</v>
      </c>
      <c r="X31" s="156" t="n">
        <v>7000</v>
      </c>
      <c r="Y31" s="159" t="n">
        <v>1.5</v>
      </c>
      <c r="Z31" s="157" t="n">
        <v>1.2</v>
      </c>
      <c r="AA31" s="100" t="n">
        <f aca="false">'Main calculation'!$B$21</f>
        <v>300</v>
      </c>
      <c r="AB31" s="164" t="n">
        <f aca="false">($D$20*Q31*R31+$D$18*S31*T31+$D$15*U31*V31*W31+$D$14*X31*Y31*Z31)*AA31/60</f>
        <v>875792.057558789</v>
      </c>
      <c r="AC31" s="165"/>
      <c r="AD31" s="166"/>
      <c r="AE31" s="166"/>
    </row>
    <row r="32" customFormat="false" ht="14.05" hidden="false" customHeight="false" outlineLevel="0" collapsed="false">
      <c r="A32" s="56" t="str">
        <f aca="false">IF('Main calculation'!$B$19=2019, "Starting year --&gt;","" )</f>
        <v/>
      </c>
      <c r="B32" s="100" t="n">
        <f aca="false">'Main calculation'!C32</f>
        <v>2019</v>
      </c>
      <c r="C32" s="156"/>
      <c r="D32" s="157"/>
      <c r="E32" s="156"/>
      <c r="F32" s="157"/>
      <c r="G32" s="158" t="n">
        <v>150</v>
      </c>
      <c r="H32" s="159" t="n">
        <v>2.53</v>
      </c>
      <c r="I32" s="157" t="n">
        <v>17</v>
      </c>
      <c r="J32" s="158" t="n">
        <v>7000</v>
      </c>
      <c r="K32" s="159" t="n">
        <v>1.2</v>
      </c>
      <c r="L32" s="157" t="n">
        <v>1.2</v>
      </c>
      <c r="M32" s="100" t="n">
        <f aca="false">'Main calculation'!$B$21</f>
        <v>300</v>
      </c>
      <c r="N32" s="168" t="n">
        <f aca="false">($D$20*C32*D32+$D$18*E32*F32+$D$15*G32*H32*I32+$D$14*J32*K32*L32)*M32/60</f>
        <v>749329.193455076</v>
      </c>
      <c r="O32" s="39"/>
      <c r="P32" s="100" t="n">
        <f aca="false">'Main calculation'!C32</f>
        <v>2019</v>
      </c>
      <c r="Q32" s="156"/>
      <c r="R32" s="161"/>
      <c r="S32" s="156"/>
      <c r="T32" s="157"/>
      <c r="U32" s="158" t="n">
        <v>150</v>
      </c>
      <c r="V32" s="159" t="n">
        <v>2.09</v>
      </c>
      <c r="W32" s="161" t="n">
        <v>17</v>
      </c>
      <c r="X32" s="156" t="n">
        <v>7000</v>
      </c>
      <c r="Y32" s="159" t="n">
        <v>1.5</v>
      </c>
      <c r="Z32" s="157" t="n">
        <v>1.2</v>
      </c>
      <c r="AA32" s="100" t="n">
        <f aca="false">'Main calculation'!$B$21</f>
        <v>300</v>
      </c>
      <c r="AB32" s="164" t="n">
        <f aca="false">($D$20*Q32*R32+$D$18*S32*T32+$D$15*U32*V32*W32+$D$14*X32*Y32*Z32)*AA32/60</f>
        <v>875792.057558789</v>
      </c>
      <c r="AC32" s="165"/>
      <c r="AD32" s="166"/>
      <c r="AE32" s="166"/>
    </row>
    <row r="33" customFormat="false" ht="14.05" hidden="false" customHeight="false" outlineLevel="0" collapsed="false">
      <c r="A33" s="56" t="str">
        <f aca="false">IF('Main calculation'!$B$19=2020, "Starting year --&gt;","" )</f>
        <v/>
      </c>
      <c r="B33" s="100" t="n">
        <f aca="false">'Main calculation'!C33</f>
        <v>2020</v>
      </c>
      <c r="C33" s="156"/>
      <c r="D33" s="157"/>
      <c r="E33" s="156"/>
      <c r="F33" s="157"/>
      <c r="G33" s="158" t="n">
        <v>150</v>
      </c>
      <c r="H33" s="159" t="n">
        <v>2.53</v>
      </c>
      <c r="I33" s="157" t="n">
        <v>17</v>
      </c>
      <c r="J33" s="158" t="n">
        <v>7000</v>
      </c>
      <c r="K33" s="159" t="n">
        <v>1.2</v>
      </c>
      <c r="L33" s="157" t="n">
        <v>1.2</v>
      </c>
      <c r="M33" s="100" t="n">
        <f aca="false">'Main calculation'!$B$21</f>
        <v>300</v>
      </c>
      <c r="N33" s="168" t="n">
        <f aca="false">($D$20*C33*D33+$D$18*E33*F33+$D$15*G33*H33*I33+$D$14*J33*K33*L33)*M33/60</f>
        <v>749329.193455076</v>
      </c>
      <c r="O33" s="39"/>
      <c r="P33" s="100" t="n">
        <f aca="false">'Main calculation'!C33</f>
        <v>2020</v>
      </c>
      <c r="Q33" s="156"/>
      <c r="R33" s="161"/>
      <c r="S33" s="156"/>
      <c r="T33" s="157"/>
      <c r="U33" s="158" t="n">
        <v>150</v>
      </c>
      <c r="V33" s="159" t="n">
        <v>2.09</v>
      </c>
      <c r="W33" s="161" t="n">
        <v>17</v>
      </c>
      <c r="X33" s="156" t="n">
        <v>7000</v>
      </c>
      <c r="Y33" s="159" t="n">
        <v>1.5</v>
      </c>
      <c r="Z33" s="157" t="n">
        <v>1.2</v>
      </c>
      <c r="AA33" s="100" t="n">
        <f aca="false">'Main calculation'!$B$21</f>
        <v>300</v>
      </c>
      <c r="AB33" s="164" t="n">
        <f aca="false">($D$20*Q33*R33+$D$18*S33*T33+$D$15*U33*V33*W33+$D$14*X33*Y33*Z33)*AA33/60</f>
        <v>875792.057558789</v>
      </c>
      <c r="AC33" s="165"/>
      <c r="AD33" s="166"/>
      <c r="AE33" s="166"/>
    </row>
    <row r="34" customFormat="false" ht="14.05" hidden="false" customHeight="false" outlineLevel="0" collapsed="false">
      <c r="A34" s="56" t="str">
        <f aca="false">IF('Main calculation'!$B$19=2021, "Starting year --&gt;","" )</f>
        <v/>
      </c>
      <c r="B34" s="100" t="n">
        <f aca="false">'Main calculation'!C34</f>
        <v>2021</v>
      </c>
      <c r="C34" s="156"/>
      <c r="D34" s="157"/>
      <c r="E34" s="156"/>
      <c r="F34" s="157"/>
      <c r="G34" s="158" t="n">
        <v>150</v>
      </c>
      <c r="H34" s="159" t="n">
        <v>2.53</v>
      </c>
      <c r="I34" s="157" t="n">
        <v>17</v>
      </c>
      <c r="J34" s="158" t="n">
        <v>7000</v>
      </c>
      <c r="K34" s="159" t="n">
        <v>1.2</v>
      </c>
      <c r="L34" s="157" t="n">
        <v>1.2</v>
      </c>
      <c r="M34" s="100" t="n">
        <f aca="false">'Main calculation'!$B$21</f>
        <v>300</v>
      </c>
      <c r="N34" s="168" t="n">
        <f aca="false">($D$20*C34*D34+$D$18*E34*F34+$D$15*G34*H34*I34+$D$14*J34*K34*L34)*M34/60</f>
        <v>749329.193455076</v>
      </c>
      <c r="O34" s="39"/>
      <c r="P34" s="100" t="n">
        <f aca="false">'Main calculation'!C34</f>
        <v>2021</v>
      </c>
      <c r="Q34" s="156"/>
      <c r="R34" s="161"/>
      <c r="S34" s="156"/>
      <c r="T34" s="157"/>
      <c r="U34" s="158" t="n">
        <v>150</v>
      </c>
      <c r="V34" s="159" t="n">
        <v>2.09</v>
      </c>
      <c r="W34" s="161" t="n">
        <v>17</v>
      </c>
      <c r="X34" s="156" t="n">
        <v>7000</v>
      </c>
      <c r="Y34" s="159" t="n">
        <v>1.5</v>
      </c>
      <c r="Z34" s="157" t="n">
        <v>1.2</v>
      </c>
      <c r="AA34" s="100" t="n">
        <f aca="false">'Main calculation'!$B$21</f>
        <v>300</v>
      </c>
      <c r="AB34" s="164" t="n">
        <f aca="false">($D$20*Q34*R34+$D$18*S34*T34+$D$15*U34*V34*W34+$D$14*X34*Y34*Z34)*AA34/60</f>
        <v>875792.057558789</v>
      </c>
      <c r="AC34" s="165"/>
      <c r="AD34" s="166"/>
      <c r="AE34" s="166"/>
    </row>
    <row r="35" customFormat="false" ht="14.05" hidden="false" customHeight="false" outlineLevel="0" collapsed="false">
      <c r="A35" s="56" t="str">
        <f aca="false">IF('Main calculation'!$B$19=2022, "Starting year --&gt;","" )</f>
        <v/>
      </c>
      <c r="B35" s="100" t="n">
        <f aca="false">'Main calculation'!C35</f>
        <v>2022</v>
      </c>
      <c r="C35" s="156"/>
      <c r="D35" s="157"/>
      <c r="E35" s="156"/>
      <c r="F35" s="157"/>
      <c r="G35" s="158" t="n">
        <v>150</v>
      </c>
      <c r="H35" s="159" t="n">
        <v>2.53</v>
      </c>
      <c r="I35" s="157" t="n">
        <v>17</v>
      </c>
      <c r="J35" s="158" t="n">
        <v>7000</v>
      </c>
      <c r="K35" s="159" t="n">
        <v>1.2</v>
      </c>
      <c r="L35" s="157" t="n">
        <v>1.2</v>
      </c>
      <c r="M35" s="100" t="n">
        <f aca="false">'Main calculation'!$B$21</f>
        <v>300</v>
      </c>
      <c r="N35" s="168" t="n">
        <f aca="false">($D$20*C35*D35+$D$18*E35*F35+$D$15*G35*H35*I35+$D$14*J35*K35*L35)*M35/60</f>
        <v>749329.193455076</v>
      </c>
      <c r="O35" s="39"/>
      <c r="P35" s="100" t="n">
        <f aca="false">'Main calculation'!C35</f>
        <v>2022</v>
      </c>
      <c r="Q35" s="156"/>
      <c r="R35" s="161"/>
      <c r="S35" s="156"/>
      <c r="T35" s="157"/>
      <c r="U35" s="158" t="n">
        <v>150</v>
      </c>
      <c r="V35" s="159" t="n">
        <v>2.09</v>
      </c>
      <c r="W35" s="161" t="n">
        <v>17</v>
      </c>
      <c r="X35" s="156" t="n">
        <v>7000</v>
      </c>
      <c r="Y35" s="159" t="n">
        <v>1.5</v>
      </c>
      <c r="Z35" s="157" t="n">
        <v>1.2</v>
      </c>
      <c r="AA35" s="100" t="n">
        <f aca="false">'Main calculation'!$B$21</f>
        <v>300</v>
      </c>
      <c r="AB35" s="164" t="n">
        <f aca="false">($D$20*Q35*R35+$D$18*S35*T35+$D$15*U35*V35*W35+$D$14*X35*Y35*Z35)*AA35/60</f>
        <v>875792.057558789</v>
      </c>
      <c r="AC35" s="165"/>
      <c r="AD35" s="166"/>
      <c r="AE35" s="166"/>
    </row>
    <row r="36" customFormat="false" ht="14.05" hidden="false" customHeight="false" outlineLevel="0" collapsed="false">
      <c r="A36" s="56" t="str">
        <f aca="false">IF('Main calculation'!$B$19=2023, "Starting year --&gt;","" )</f>
        <v/>
      </c>
      <c r="B36" s="100" t="n">
        <f aca="false">'Main calculation'!C36</f>
        <v>2023</v>
      </c>
      <c r="C36" s="156"/>
      <c r="D36" s="157"/>
      <c r="E36" s="156"/>
      <c r="F36" s="157"/>
      <c r="G36" s="158" t="n">
        <v>150</v>
      </c>
      <c r="H36" s="159" t="n">
        <v>2.53</v>
      </c>
      <c r="I36" s="157" t="n">
        <v>17</v>
      </c>
      <c r="J36" s="158" t="n">
        <v>7000</v>
      </c>
      <c r="K36" s="159" t="n">
        <v>1.2</v>
      </c>
      <c r="L36" s="157" t="n">
        <v>1.2</v>
      </c>
      <c r="M36" s="100" t="n">
        <f aca="false">'Main calculation'!$B$21</f>
        <v>300</v>
      </c>
      <c r="N36" s="168" t="n">
        <f aca="false">($D$20*C36*D36+$D$18*E36*F36+$D$15*G36*H36*I36+$D$14*J36*K36*L36)*M36/60</f>
        <v>749329.193455076</v>
      </c>
      <c r="O36" s="39"/>
      <c r="P36" s="100" t="n">
        <f aca="false">'Main calculation'!C36</f>
        <v>2023</v>
      </c>
      <c r="Q36" s="156"/>
      <c r="R36" s="161"/>
      <c r="S36" s="156"/>
      <c r="T36" s="157"/>
      <c r="U36" s="158" t="n">
        <v>150</v>
      </c>
      <c r="V36" s="159" t="n">
        <v>2.09</v>
      </c>
      <c r="W36" s="161" t="n">
        <v>17</v>
      </c>
      <c r="X36" s="156" t="n">
        <v>7000</v>
      </c>
      <c r="Y36" s="159" t="n">
        <v>1.5</v>
      </c>
      <c r="Z36" s="157" t="n">
        <v>1.2</v>
      </c>
      <c r="AA36" s="100" t="n">
        <f aca="false">'Main calculation'!$B$21</f>
        <v>300</v>
      </c>
      <c r="AB36" s="164" t="n">
        <f aca="false">($D$20*Q36*R36+$D$18*S36*T36+$D$15*U36*V36*W36+$D$14*X36*Y36*Z36)*AA36/60</f>
        <v>875792.057558789</v>
      </c>
      <c r="AC36" s="165"/>
      <c r="AD36" s="166"/>
      <c r="AE36" s="166"/>
    </row>
    <row r="37" customFormat="false" ht="14.05" hidden="false" customHeight="false" outlineLevel="0" collapsed="false">
      <c r="A37" s="56" t="str">
        <f aca="false">IF('Main calculation'!$B$19=2024, "Starting year --&gt;","" )</f>
        <v/>
      </c>
      <c r="B37" s="100" t="n">
        <f aca="false">'Main calculation'!C37</f>
        <v>2024</v>
      </c>
      <c r="C37" s="156"/>
      <c r="D37" s="157"/>
      <c r="E37" s="156"/>
      <c r="F37" s="157"/>
      <c r="G37" s="158" t="n">
        <v>150</v>
      </c>
      <c r="H37" s="159" t="n">
        <v>2.53</v>
      </c>
      <c r="I37" s="157" t="n">
        <v>17</v>
      </c>
      <c r="J37" s="158" t="n">
        <v>7000</v>
      </c>
      <c r="K37" s="159" t="n">
        <v>1.2</v>
      </c>
      <c r="L37" s="157" t="n">
        <v>1.2</v>
      </c>
      <c r="M37" s="100" t="n">
        <f aca="false">'Main calculation'!$B$21</f>
        <v>300</v>
      </c>
      <c r="N37" s="168" t="n">
        <f aca="false">($D$20*C37*D37+$D$18*E37*F37+$D$15*G37*H37*I37+$D$14*J37*K37*L37)*M37/60</f>
        <v>749329.193455076</v>
      </c>
      <c r="O37" s="39"/>
      <c r="P37" s="100" t="n">
        <f aca="false">'Main calculation'!C37</f>
        <v>2024</v>
      </c>
      <c r="Q37" s="156"/>
      <c r="R37" s="161"/>
      <c r="S37" s="156"/>
      <c r="T37" s="157"/>
      <c r="U37" s="158" t="n">
        <v>150</v>
      </c>
      <c r="V37" s="159" t="n">
        <v>2.09</v>
      </c>
      <c r="W37" s="161" t="n">
        <v>17</v>
      </c>
      <c r="X37" s="156" t="n">
        <v>7000</v>
      </c>
      <c r="Y37" s="159" t="n">
        <v>1.5</v>
      </c>
      <c r="Z37" s="157" t="n">
        <v>1.2</v>
      </c>
      <c r="AA37" s="100" t="n">
        <f aca="false">'Main calculation'!$B$21</f>
        <v>300</v>
      </c>
      <c r="AB37" s="164" t="n">
        <f aca="false">($D$20*Q37*R37+$D$18*S37*T37+$D$15*U37*V37*W37+$D$14*X37*Y37*Z37)*AA37/60</f>
        <v>875792.057558789</v>
      </c>
      <c r="AC37" s="165"/>
      <c r="AD37" s="166"/>
      <c r="AE37" s="166"/>
    </row>
    <row r="38" customFormat="false" ht="14.05" hidden="false" customHeight="false" outlineLevel="0" collapsed="false">
      <c r="A38" s="56" t="str">
        <f aca="false">IF('Main calculation'!$B$19=2025, "Starting year --&gt;","" )</f>
        <v/>
      </c>
      <c r="B38" s="100" t="n">
        <f aca="false">'Main calculation'!C38</f>
        <v>2025</v>
      </c>
      <c r="C38" s="156"/>
      <c r="D38" s="157"/>
      <c r="E38" s="156"/>
      <c r="F38" s="157"/>
      <c r="G38" s="158" t="n">
        <v>150</v>
      </c>
      <c r="H38" s="159" t="n">
        <v>2.53</v>
      </c>
      <c r="I38" s="157" t="n">
        <v>17</v>
      </c>
      <c r="J38" s="158" t="n">
        <v>7000</v>
      </c>
      <c r="K38" s="159" t="n">
        <v>1.2</v>
      </c>
      <c r="L38" s="157" t="n">
        <v>1.2</v>
      </c>
      <c r="M38" s="100" t="n">
        <f aca="false">'Main calculation'!$B$21</f>
        <v>300</v>
      </c>
      <c r="N38" s="168" t="n">
        <f aca="false">($D$20*C38*D38+$D$18*E38*F38+$D$15*G38*H38*I38+$D$14*J38*K38*L38)*M38/60</f>
        <v>749329.193455076</v>
      </c>
      <c r="O38" s="39"/>
      <c r="P38" s="100" t="n">
        <f aca="false">'Main calculation'!C38</f>
        <v>2025</v>
      </c>
      <c r="Q38" s="156"/>
      <c r="R38" s="161"/>
      <c r="S38" s="156"/>
      <c r="T38" s="157"/>
      <c r="U38" s="158" t="n">
        <v>150</v>
      </c>
      <c r="V38" s="159" t="n">
        <v>2.09</v>
      </c>
      <c r="W38" s="161" t="n">
        <v>17</v>
      </c>
      <c r="X38" s="156" t="n">
        <v>7000</v>
      </c>
      <c r="Y38" s="159" t="n">
        <v>1.5</v>
      </c>
      <c r="Z38" s="157" t="n">
        <v>1.2</v>
      </c>
      <c r="AA38" s="100" t="n">
        <f aca="false">'Main calculation'!$B$21</f>
        <v>300</v>
      </c>
      <c r="AB38" s="164" t="n">
        <f aca="false">($D$20*Q38*R38+$D$18*S38*T38+$D$15*U38*V38*W38+$D$14*X38*Y38*Z38)*AA38/60</f>
        <v>875792.057558789</v>
      </c>
      <c r="AC38" s="165"/>
      <c r="AD38" s="166"/>
      <c r="AE38" s="166"/>
    </row>
    <row r="39" customFormat="false" ht="14.05" hidden="false" customHeight="false" outlineLevel="0" collapsed="false">
      <c r="A39" s="56" t="str">
        <f aca="false">IF('Main calculation'!$B$19=2026, "Starting year --&gt;","" )</f>
        <v/>
      </c>
      <c r="B39" s="100" t="n">
        <f aca="false">'Main calculation'!C39</f>
        <v>2026</v>
      </c>
      <c r="C39" s="156"/>
      <c r="D39" s="157"/>
      <c r="E39" s="156"/>
      <c r="F39" s="157"/>
      <c r="G39" s="158" t="n">
        <v>150</v>
      </c>
      <c r="H39" s="159" t="n">
        <v>2.53</v>
      </c>
      <c r="I39" s="157" t="n">
        <v>17</v>
      </c>
      <c r="J39" s="158" t="n">
        <v>7000</v>
      </c>
      <c r="K39" s="159" t="n">
        <v>1.2</v>
      </c>
      <c r="L39" s="157" t="n">
        <v>1.2</v>
      </c>
      <c r="M39" s="100" t="n">
        <f aca="false">'Main calculation'!$B$21</f>
        <v>300</v>
      </c>
      <c r="N39" s="168" t="n">
        <f aca="false">($D$20*C39*D39+$D$18*E39*F39+$D$15*G39*H39*I39+$D$14*J39*K39*L39)*M39/60</f>
        <v>749329.193455076</v>
      </c>
      <c r="O39" s="39"/>
      <c r="P39" s="100" t="n">
        <f aca="false">'Main calculation'!C39</f>
        <v>2026</v>
      </c>
      <c r="Q39" s="156"/>
      <c r="R39" s="161"/>
      <c r="S39" s="156"/>
      <c r="T39" s="157"/>
      <c r="U39" s="158" t="n">
        <v>150</v>
      </c>
      <c r="V39" s="159" t="n">
        <v>2.09</v>
      </c>
      <c r="W39" s="161" t="n">
        <v>17</v>
      </c>
      <c r="X39" s="156" t="n">
        <v>7000</v>
      </c>
      <c r="Y39" s="159" t="n">
        <v>1.5</v>
      </c>
      <c r="Z39" s="157" t="n">
        <v>1.2</v>
      </c>
      <c r="AA39" s="100" t="n">
        <f aca="false">'Main calculation'!$B$21</f>
        <v>300</v>
      </c>
      <c r="AB39" s="164" t="n">
        <f aca="false">($D$20*Q39*R39+$D$18*S39*T39+$D$15*U39*V39*W39+$D$14*X39*Y39*Z39)*AA39/60</f>
        <v>875792.057558789</v>
      </c>
      <c r="AC39" s="165"/>
      <c r="AD39" s="166"/>
      <c r="AE39" s="166"/>
    </row>
    <row r="40" customFormat="false" ht="14.05" hidden="false" customHeight="false" outlineLevel="0" collapsed="false">
      <c r="A40" s="56" t="str">
        <f aca="false">IF('Main calculation'!$B$19=2027, "Starting year --&gt;","" )</f>
        <v/>
      </c>
      <c r="B40" s="100" t="n">
        <f aca="false">'Main calculation'!C40</f>
        <v>2027</v>
      </c>
      <c r="C40" s="156"/>
      <c r="D40" s="157"/>
      <c r="E40" s="156"/>
      <c r="F40" s="157"/>
      <c r="G40" s="158" t="n">
        <v>150</v>
      </c>
      <c r="H40" s="159" t="n">
        <v>2.53</v>
      </c>
      <c r="I40" s="157" t="n">
        <v>17</v>
      </c>
      <c r="J40" s="158" t="n">
        <v>7000</v>
      </c>
      <c r="K40" s="159" t="n">
        <v>1.2</v>
      </c>
      <c r="L40" s="157" t="n">
        <v>1.2</v>
      </c>
      <c r="M40" s="100" t="n">
        <f aca="false">'Main calculation'!$B$21</f>
        <v>300</v>
      </c>
      <c r="N40" s="168" t="n">
        <f aca="false">($D$20*C40*D40+$D$18*E40*F40+$D$15*G40*H40*I40+$D$14*J40*K40*L40)*M40/60</f>
        <v>749329.193455076</v>
      </c>
      <c r="O40" s="39"/>
      <c r="P40" s="100" t="n">
        <f aca="false">'Main calculation'!C40</f>
        <v>2027</v>
      </c>
      <c r="Q40" s="156"/>
      <c r="R40" s="161"/>
      <c r="S40" s="156"/>
      <c r="T40" s="157"/>
      <c r="U40" s="158" t="n">
        <v>150</v>
      </c>
      <c r="V40" s="159" t="n">
        <v>2.09</v>
      </c>
      <c r="W40" s="161" t="n">
        <v>17</v>
      </c>
      <c r="X40" s="156" t="n">
        <v>7000</v>
      </c>
      <c r="Y40" s="159" t="n">
        <v>1.5</v>
      </c>
      <c r="Z40" s="157" t="n">
        <v>1.2</v>
      </c>
      <c r="AA40" s="100" t="n">
        <f aca="false">'Main calculation'!$B$21</f>
        <v>300</v>
      </c>
      <c r="AB40" s="164" t="n">
        <f aca="false">($D$20*Q40*R40+$D$18*S40*T40+$D$15*U40*V40*W40+$D$14*X40*Y40*Z40)*AA40/60</f>
        <v>875792.057558789</v>
      </c>
      <c r="AC40" s="165"/>
      <c r="AD40" s="166"/>
      <c r="AE40" s="166"/>
    </row>
    <row r="41" customFormat="false" ht="14.05" hidden="false" customHeight="false" outlineLevel="0" collapsed="false">
      <c r="A41" s="56" t="str">
        <f aca="false">IF('Main calculation'!$B$20=2028, "Finishing year --&gt;","" )</f>
        <v>Finishing year --&gt;</v>
      </c>
      <c r="B41" s="100" t="n">
        <f aca="false">'Main calculation'!C41</f>
        <v>2028</v>
      </c>
      <c r="C41" s="156"/>
      <c r="D41" s="157"/>
      <c r="E41" s="156"/>
      <c r="F41" s="157"/>
      <c r="G41" s="158" t="n">
        <v>150</v>
      </c>
      <c r="H41" s="159" t="n">
        <v>2.53</v>
      </c>
      <c r="I41" s="157" t="n">
        <v>17</v>
      </c>
      <c r="J41" s="158" t="n">
        <v>7000</v>
      </c>
      <c r="K41" s="159" t="n">
        <v>1.2</v>
      </c>
      <c r="L41" s="157" t="n">
        <v>1.2</v>
      </c>
      <c r="M41" s="100" t="n">
        <f aca="false">'Main calculation'!$B$21</f>
        <v>300</v>
      </c>
      <c r="N41" s="168" t="n">
        <f aca="false">($D$20*C41*D41+$D$18*E41*F41+$D$15*G41*H41*I41+$D$14*J41*K41*L41)*M41/60</f>
        <v>749329.193455076</v>
      </c>
      <c r="O41" s="39"/>
      <c r="P41" s="100" t="n">
        <f aca="false">'Main calculation'!C41</f>
        <v>2028</v>
      </c>
      <c r="Q41" s="156"/>
      <c r="R41" s="161"/>
      <c r="S41" s="156"/>
      <c r="T41" s="157"/>
      <c r="U41" s="158" t="n">
        <v>150</v>
      </c>
      <c r="V41" s="159" t="n">
        <v>2.09</v>
      </c>
      <c r="W41" s="161" t="n">
        <v>17</v>
      </c>
      <c r="X41" s="156" t="n">
        <v>7000</v>
      </c>
      <c r="Y41" s="159" t="n">
        <v>1.5</v>
      </c>
      <c r="Z41" s="157" t="n">
        <v>1.2</v>
      </c>
      <c r="AA41" s="100" t="n">
        <f aca="false">'Main calculation'!$B$21</f>
        <v>300</v>
      </c>
      <c r="AB41" s="164" t="n">
        <f aca="false">($D$20*Q41*R41+$D$18*S41*T41+$D$15*U41*V41*W41+$D$14*X41*Y41*Z41)*AA41/60</f>
        <v>875792.057558789</v>
      </c>
      <c r="AC41" s="165"/>
      <c r="AD41" s="166"/>
      <c r="AE41" s="166"/>
    </row>
    <row r="42" customFormat="false" ht="14.05" hidden="false" customHeight="false" outlineLevel="0" collapsed="false">
      <c r="A42" s="56" t="str">
        <f aca="false">IF('Main calculation'!$B$20=2029, "Finishing year --&gt;","" )</f>
        <v/>
      </c>
      <c r="B42" s="100" t="n">
        <f aca="false">'Main calculation'!C42</f>
        <v>2029</v>
      </c>
      <c r="C42" s="156"/>
      <c r="D42" s="157"/>
      <c r="E42" s="156"/>
      <c r="F42" s="157"/>
      <c r="G42" s="158"/>
      <c r="H42" s="159"/>
      <c r="I42" s="157"/>
      <c r="J42" s="158"/>
      <c r="K42" s="159"/>
      <c r="L42" s="157"/>
      <c r="M42" s="100" t="n">
        <f aca="false">'Main calculation'!$B$21</f>
        <v>300</v>
      </c>
      <c r="N42" s="168" t="n">
        <f aca="false">($D$20*C42*D42+$D$18*E42*F42+$D$15*G42*H42*I42+$D$14*J42*K42*L42)*M42/60</f>
        <v>0</v>
      </c>
      <c r="O42" s="39"/>
      <c r="P42" s="100" t="n">
        <f aca="false">'Main calculation'!C42</f>
        <v>2029</v>
      </c>
      <c r="Q42" s="156"/>
      <c r="R42" s="161"/>
      <c r="S42" s="156"/>
      <c r="T42" s="157"/>
      <c r="U42" s="158"/>
      <c r="V42" s="159"/>
      <c r="W42" s="161"/>
      <c r="X42" s="156"/>
      <c r="Y42" s="159"/>
      <c r="Z42" s="157"/>
      <c r="AA42" s="100" t="n">
        <f aca="false">'Main calculation'!$B$21</f>
        <v>300</v>
      </c>
      <c r="AB42" s="164" t="n">
        <f aca="false">($D$20*Q42*R42+$D$18*S42*T42+$D$15*U42*V42*W42+$D$14*X42*Y42*Z42)*AA42/60</f>
        <v>0</v>
      </c>
      <c r="AC42" s="165"/>
      <c r="AD42" s="166"/>
      <c r="AE42" s="166"/>
    </row>
    <row r="43" customFormat="false" ht="14.05" hidden="false" customHeight="false" outlineLevel="0" collapsed="false">
      <c r="A43" s="56" t="str">
        <f aca="false">IF('Main calculation'!$B$20=2030, "Finishing year --&gt;","" )</f>
        <v/>
      </c>
      <c r="B43" s="100" t="n">
        <f aca="false">'Main calculation'!C43</f>
        <v>2030</v>
      </c>
      <c r="C43" s="169"/>
      <c r="D43" s="170"/>
      <c r="E43" s="169"/>
      <c r="F43" s="170"/>
      <c r="G43" s="171"/>
      <c r="H43" s="172"/>
      <c r="I43" s="170"/>
      <c r="J43" s="171"/>
      <c r="K43" s="172"/>
      <c r="L43" s="170"/>
      <c r="M43" s="100" t="n">
        <f aca="false">'Main calculation'!$B$21</f>
        <v>300</v>
      </c>
      <c r="N43" s="173" t="n">
        <f aca="false">($D$20*C43*D43+$D$18*E43*F43+$D$15*G43*H43*I43+$D$14*J43*K43*L43)*M43/60</f>
        <v>0</v>
      </c>
      <c r="O43" s="174"/>
      <c r="P43" s="100" t="n">
        <f aca="false">'Main calculation'!C43</f>
        <v>2030</v>
      </c>
      <c r="Q43" s="175"/>
      <c r="R43" s="176"/>
      <c r="S43" s="169"/>
      <c r="T43" s="170"/>
      <c r="U43" s="171"/>
      <c r="V43" s="172"/>
      <c r="W43" s="176"/>
      <c r="X43" s="169"/>
      <c r="Y43" s="172"/>
      <c r="Z43" s="170"/>
      <c r="AA43" s="177" t="n">
        <f aca="false">'Main calculation'!$B$21</f>
        <v>300</v>
      </c>
      <c r="AB43" s="178" t="n">
        <f aca="false">($D$20*Q43*R43+$D$18*S43*T43+$D$15*U43*V43*W43+$D$14*X43*Y43*Z43)*AA43/60</f>
        <v>0</v>
      </c>
      <c r="AC43" s="165"/>
      <c r="AD43" s="166"/>
      <c r="AE43" s="166"/>
    </row>
    <row r="44" customFormat="false" ht="14.05" hidden="false" customHeight="false" outlineLevel="0" collapsed="false">
      <c r="A44" s="56" t="str">
        <f aca="false">IF('Main calculation'!$B$20=2031, "Finishing year --&gt;","" )</f>
        <v/>
      </c>
    </row>
    <row r="45" customFormat="false" ht="14.05" hidden="false" customHeight="false" outlineLevel="0" collapsed="false">
      <c r="A45" s="56" t="str">
        <f aca="false">IF('Main calculation'!$B$20=2032, "Finishing year --&gt;","" )</f>
        <v/>
      </c>
    </row>
    <row r="46" customFormat="false" ht="14.05" hidden="false" customHeight="false" outlineLevel="0" collapsed="false">
      <c r="A46" s="56" t="str">
        <f aca="false">IF('Main calculation'!$B$20=2033, "Finishing year --&gt;","" )</f>
        <v/>
      </c>
    </row>
  </sheetData>
  <mergeCells count="6">
    <mergeCell ref="A2:I2"/>
    <mergeCell ref="D12:E12"/>
    <mergeCell ref="D14:E14"/>
    <mergeCell ref="D15:E15"/>
    <mergeCell ref="D18:E18"/>
    <mergeCell ref="D20:E20"/>
  </mergeCell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T59"/>
  <sheetViews>
    <sheetView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4.05" zeroHeight="false" outlineLevelRow="0" outlineLevelCol="0"/>
  <cols>
    <col collapsed="false" customWidth="true" hidden="false" outlineLevel="0" max="1" min="1" style="1" width="17.98"/>
    <col collapsed="false" customWidth="true" hidden="false" outlineLevel="0" max="10" min="2" style="1" width="15.75"/>
    <col collapsed="false" customWidth="true" hidden="false" outlineLevel="0" max="11" min="11" style="1" width="5.58"/>
    <col collapsed="false" customWidth="true" hidden="false" outlineLevel="0" max="20" min="12" style="1" width="15.75"/>
    <col collapsed="false" customWidth="true" hidden="false" outlineLevel="0" max="1025" min="21" style="1" width="8.71"/>
  </cols>
  <sheetData>
    <row r="1" customFormat="false" ht="17.65" hidden="false" customHeight="false" outlineLevel="0" collapsed="false">
      <c r="A1" s="82" t="s">
        <v>96</v>
      </c>
    </row>
    <row r="2" customFormat="false" ht="14.05" hidden="false" customHeight="false" outlineLevel="0" collapsed="false">
      <c r="A2" s="22" t="s">
        <v>97</v>
      </c>
    </row>
    <row r="3" customFormat="false" ht="31.5" hidden="false" customHeight="true" outlineLevel="0" collapsed="false">
      <c r="A3" s="3" t="s">
        <v>98</v>
      </c>
      <c r="B3" s="3"/>
      <c r="C3" s="3"/>
      <c r="D3" s="3"/>
      <c r="E3" s="3"/>
      <c r="F3" s="3"/>
      <c r="G3" s="132"/>
      <c r="H3" s="132"/>
    </row>
    <row r="4" customFormat="false" ht="14.05" hidden="false" customHeight="false" outlineLevel="0" collapsed="false">
      <c r="A4" s="21"/>
      <c r="B4" s="21"/>
      <c r="C4" s="21"/>
      <c r="D4" s="21"/>
      <c r="E4" s="21"/>
      <c r="F4" s="21"/>
      <c r="G4" s="21"/>
      <c r="H4" s="21"/>
    </row>
    <row r="5" customFormat="false" ht="14.05" hidden="false" customHeight="false" outlineLevel="0" collapsed="false">
      <c r="A5" s="22" t="s">
        <v>54</v>
      </c>
    </row>
    <row r="6" customFormat="false" ht="14.05" hidden="false" customHeight="false" outlineLevel="0" collapsed="false">
      <c r="A6" s="83" t="s">
        <v>99</v>
      </c>
    </row>
    <row r="7" customFormat="false" ht="30" hidden="false" customHeight="true" outlineLevel="0" collapsed="false">
      <c r="A7" s="3" t="s">
        <v>100</v>
      </c>
      <c r="B7" s="3"/>
      <c r="C7" s="3"/>
      <c r="D7" s="3"/>
      <c r="E7" s="3"/>
      <c r="F7" s="3"/>
    </row>
    <row r="8" customFormat="false" ht="14.05" hidden="false" customHeight="false" outlineLevel="0" collapsed="false">
      <c r="A8" s="83" t="s">
        <v>101</v>
      </c>
    </row>
    <row r="9" customFormat="false" ht="14.05" hidden="false" customHeight="false" outlineLevel="0" collapsed="false">
      <c r="A9" s="22"/>
    </row>
    <row r="10" customFormat="false" ht="14.05" hidden="false" customHeight="false" outlineLevel="0" collapsed="false">
      <c r="A10" s="179" t="s">
        <v>102</v>
      </c>
    </row>
    <row r="11" customFormat="false" ht="14.4" hidden="false" customHeight="true" outlineLevel="0" collapsed="false">
      <c r="A11" s="180" t="s">
        <v>103</v>
      </c>
      <c r="B11" s="180"/>
      <c r="C11" s="180"/>
      <c r="D11" s="180"/>
      <c r="E11" s="180"/>
      <c r="F11" s="180"/>
      <c r="G11" s="180"/>
    </row>
    <row r="12" customFormat="false" ht="14.05" hidden="false" customHeight="false" outlineLevel="0" collapsed="false">
      <c r="H12" s="181"/>
      <c r="I12" s="181"/>
      <c r="J12" s="181"/>
      <c r="K12" s="181"/>
      <c r="L12" s="181"/>
      <c r="M12" s="181"/>
      <c r="N12" s="181"/>
      <c r="O12" s="181"/>
      <c r="P12" s="181"/>
    </row>
    <row r="13" customFormat="false" ht="17.65" hidden="false" customHeight="false" outlineLevel="0" collapsed="false">
      <c r="A13" s="29"/>
      <c r="B13" s="182" t="s">
        <v>27</v>
      </c>
      <c r="C13" s="183"/>
      <c r="D13" s="183"/>
      <c r="E13" s="183"/>
      <c r="F13" s="183"/>
      <c r="G13" s="183"/>
      <c r="H13" s="183"/>
      <c r="I13" s="183"/>
      <c r="J13" s="184"/>
      <c r="K13" s="39"/>
      <c r="L13" s="185" t="s">
        <v>28</v>
      </c>
      <c r="M13" s="186"/>
      <c r="N13" s="186"/>
      <c r="O13" s="186"/>
      <c r="P13" s="186"/>
      <c r="Q13" s="186"/>
      <c r="R13" s="186"/>
      <c r="S13" s="186"/>
      <c r="T13" s="186"/>
    </row>
    <row r="14" customFormat="false" ht="41.75" hidden="false" customHeight="false" outlineLevel="0" collapsed="false">
      <c r="B14" s="57" t="s">
        <v>30</v>
      </c>
      <c r="C14" s="187" t="s">
        <v>104</v>
      </c>
      <c r="D14" s="187" t="s">
        <v>105</v>
      </c>
      <c r="E14" s="187" t="s">
        <v>106</v>
      </c>
      <c r="F14" s="187" t="s">
        <v>107</v>
      </c>
      <c r="G14" s="187" t="s">
        <v>108</v>
      </c>
      <c r="H14" s="187" t="s">
        <v>109</v>
      </c>
      <c r="I14" s="187" t="s">
        <v>110</v>
      </c>
      <c r="J14" s="188" t="s">
        <v>111</v>
      </c>
      <c r="K14" s="49"/>
      <c r="L14" s="165" t="s">
        <v>30</v>
      </c>
      <c r="M14" s="187" t="s">
        <v>104</v>
      </c>
      <c r="N14" s="187" t="s">
        <v>105</v>
      </c>
      <c r="O14" s="187" t="s">
        <v>106</v>
      </c>
      <c r="P14" s="187" t="s">
        <v>107</v>
      </c>
      <c r="Q14" s="187" t="s">
        <v>108</v>
      </c>
      <c r="R14" s="187" t="s">
        <v>109</v>
      </c>
      <c r="S14" s="187" t="s">
        <v>110</v>
      </c>
      <c r="T14" s="187" t="s">
        <v>111</v>
      </c>
    </row>
    <row r="15" customFormat="false" ht="14.05" hidden="false" customHeight="false" outlineLevel="0" collapsed="false">
      <c r="A15" s="56" t="str">
        <f aca="false">IF('Main calculation'!$B$19=2013, "Starting year --&gt;","" )</f>
        <v/>
      </c>
      <c r="B15" s="57" t="n">
        <f aca="false">'Main calculation'!C26</f>
        <v>2013</v>
      </c>
      <c r="C15" s="159"/>
      <c r="D15" s="159"/>
      <c r="E15" s="159"/>
      <c r="F15" s="159"/>
      <c r="G15" s="159"/>
      <c r="H15" s="159"/>
      <c r="I15" s="159"/>
      <c r="J15" s="189" t="n">
        <f aca="false">C15*D15*(E15+F15+G15+H15+I15)</f>
        <v>0</v>
      </c>
      <c r="K15" s="49"/>
      <c r="L15" s="165" t="n">
        <f aca="false">'Main calculation'!C26</f>
        <v>2013</v>
      </c>
      <c r="M15" s="159"/>
      <c r="N15" s="159"/>
      <c r="O15" s="159"/>
      <c r="P15" s="159"/>
      <c r="Q15" s="159"/>
      <c r="R15" s="159"/>
      <c r="S15" s="159"/>
      <c r="T15" s="190" t="n">
        <f aca="false">M15*N15*(O15+P15+Q15+R15+S15)</f>
        <v>0</v>
      </c>
    </row>
    <row r="16" customFormat="false" ht="14.05" hidden="false" customHeight="false" outlineLevel="0" collapsed="false">
      <c r="A16" s="56" t="str">
        <f aca="false">IF('Main calculation'!$B$19=2014, "Starting year --&gt;","" )</f>
        <v>Starting year --&gt;</v>
      </c>
      <c r="B16" s="57" t="n">
        <f aca="false">'Main calculation'!C27</f>
        <v>2014</v>
      </c>
      <c r="C16" s="159"/>
      <c r="D16" s="159"/>
      <c r="E16" s="159"/>
      <c r="F16" s="159"/>
      <c r="G16" s="159"/>
      <c r="H16" s="159"/>
      <c r="I16" s="159"/>
      <c r="J16" s="189" t="n">
        <f aca="false">C16*D16*(E16+F16+G16+H16+I16)</f>
        <v>0</v>
      </c>
      <c r="K16" s="49"/>
      <c r="L16" s="165" t="n">
        <f aca="false">'Main calculation'!C27</f>
        <v>2014</v>
      </c>
      <c r="M16" s="159"/>
      <c r="N16" s="159"/>
      <c r="O16" s="159"/>
      <c r="P16" s="159"/>
      <c r="Q16" s="159"/>
      <c r="R16" s="159"/>
      <c r="S16" s="159"/>
      <c r="T16" s="190" t="n">
        <f aca="false">M16*N16*(O16+P16+Q16+R16+S16)</f>
        <v>0</v>
      </c>
    </row>
    <row r="17" customFormat="false" ht="14.05" hidden="false" customHeight="false" outlineLevel="0" collapsed="false">
      <c r="A17" s="56" t="str">
        <f aca="false">IF('Main calculation'!$B$19=2015, "Starting year --&gt;","" )</f>
        <v/>
      </c>
      <c r="B17" s="57" t="n">
        <f aca="false">'Main calculation'!C28</f>
        <v>2015</v>
      </c>
      <c r="C17" s="159"/>
      <c r="D17" s="159"/>
      <c r="E17" s="159"/>
      <c r="F17" s="159"/>
      <c r="G17" s="159"/>
      <c r="H17" s="159"/>
      <c r="I17" s="159"/>
      <c r="J17" s="189" t="n">
        <f aca="false">C17*D17*(E17+F17+G17+H17+I17)</f>
        <v>0</v>
      </c>
      <c r="K17" s="39"/>
      <c r="L17" s="165" t="n">
        <f aca="false">'Main calculation'!C28</f>
        <v>2015</v>
      </c>
      <c r="M17" s="159"/>
      <c r="N17" s="159"/>
      <c r="O17" s="159"/>
      <c r="P17" s="159"/>
      <c r="Q17" s="159"/>
      <c r="R17" s="159"/>
      <c r="S17" s="159"/>
      <c r="T17" s="190" t="n">
        <f aca="false">M17*N17*(O17+P17+Q17+R17+S17)</f>
        <v>0</v>
      </c>
    </row>
    <row r="18" customFormat="false" ht="14.05" hidden="false" customHeight="false" outlineLevel="0" collapsed="false">
      <c r="A18" s="56" t="str">
        <f aca="false">IF('Main calculation'!$B$19=2016, "Starting year --&gt;","" )</f>
        <v/>
      </c>
      <c r="B18" s="57" t="n">
        <f aca="false">'Main calculation'!C29</f>
        <v>2016</v>
      </c>
      <c r="C18" s="159"/>
      <c r="D18" s="159"/>
      <c r="E18" s="159"/>
      <c r="F18" s="159"/>
      <c r="G18" s="159"/>
      <c r="H18" s="159"/>
      <c r="I18" s="159"/>
      <c r="J18" s="189" t="n">
        <f aca="false">C18*D18*(E18+F18+G18+H18+I18)</f>
        <v>0</v>
      </c>
      <c r="K18" s="39"/>
      <c r="L18" s="165" t="n">
        <f aca="false">'Main calculation'!C29</f>
        <v>2016</v>
      </c>
      <c r="M18" s="159"/>
      <c r="N18" s="159"/>
      <c r="O18" s="159"/>
      <c r="P18" s="159"/>
      <c r="Q18" s="159"/>
      <c r="R18" s="159"/>
      <c r="S18" s="159"/>
      <c r="T18" s="190" t="n">
        <f aca="false">M18*N18*(O18+P18+Q18+R18+S18)</f>
        <v>0</v>
      </c>
    </row>
    <row r="19" customFormat="false" ht="14.05" hidden="false" customHeight="false" outlineLevel="0" collapsed="false">
      <c r="A19" s="56" t="str">
        <f aca="false">IF('Main calculation'!$B$19=2017, "Starting year --&gt;","" )</f>
        <v/>
      </c>
      <c r="B19" s="57" t="n">
        <f aca="false">'Main calculation'!C30</f>
        <v>2017</v>
      </c>
      <c r="C19" s="159"/>
      <c r="D19" s="159"/>
      <c r="E19" s="159"/>
      <c r="F19" s="159"/>
      <c r="G19" s="159"/>
      <c r="H19" s="159"/>
      <c r="I19" s="159"/>
      <c r="J19" s="189" t="n">
        <f aca="false">C19*D19*(E19+F19+G19+H19+I19)</f>
        <v>0</v>
      </c>
      <c r="K19" s="39"/>
      <c r="L19" s="165" t="n">
        <f aca="false">'Main calculation'!C30</f>
        <v>2017</v>
      </c>
      <c r="M19" s="159"/>
      <c r="N19" s="159"/>
      <c r="O19" s="159"/>
      <c r="P19" s="159"/>
      <c r="Q19" s="159"/>
      <c r="R19" s="159"/>
      <c r="S19" s="159"/>
      <c r="T19" s="190" t="n">
        <f aca="false">M19*N19*(O19+P19+Q19+R19+S19)</f>
        <v>0</v>
      </c>
    </row>
    <row r="20" customFormat="false" ht="14.05" hidden="false" customHeight="false" outlineLevel="0" collapsed="false">
      <c r="A20" s="56" t="str">
        <f aca="false">IF('Main calculation'!$B$19=2018, "Starting year --&gt;","" )</f>
        <v/>
      </c>
      <c r="B20" s="57" t="n">
        <f aca="false">'Main calculation'!C31</f>
        <v>2018</v>
      </c>
      <c r="C20" s="159"/>
      <c r="D20" s="159"/>
      <c r="E20" s="159"/>
      <c r="F20" s="159"/>
      <c r="G20" s="159"/>
      <c r="H20" s="159"/>
      <c r="I20" s="159"/>
      <c r="J20" s="189" t="n">
        <f aca="false">C20*D20*(E20+F20+G20+H20+I20)</f>
        <v>0</v>
      </c>
      <c r="K20" s="39"/>
      <c r="L20" s="165" t="n">
        <f aca="false">'Main calculation'!C31</f>
        <v>2018</v>
      </c>
      <c r="M20" s="159"/>
      <c r="N20" s="159"/>
      <c r="O20" s="159"/>
      <c r="P20" s="159"/>
      <c r="Q20" s="159"/>
      <c r="R20" s="159"/>
      <c r="S20" s="159"/>
      <c r="T20" s="190" t="n">
        <f aca="false">M20*N20*(O20+P20+Q20+R20+S20)</f>
        <v>0</v>
      </c>
    </row>
    <row r="21" customFormat="false" ht="14.05" hidden="false" customHeight="false" outlineLevel="0" collapsed="false">
      <c r="A21" s="56" t="str">
        <f aca="false">IF('Main calculation'!$B$19=2019, "Starting year --&gt;","" )</f>
        <v/>
      </c>
      <c r="B21" s="57" t="n">
        <f aca="false">'Main calculation'!C32</f>
        <v>2019</v>
      </c>
      <c r="C21" s="159"/>
      <c r="D21" s="159"/>
      <c r="E21" s="159"/>
      <c r="F21" s="159"/>
      <c r="G21" s="159"/>
      <c r="H21" s="159"/>
      <c r="I21" s="159"/>
      <c r="J21" s="189" t="n">
        <f aca="false">C21*D21*(E21+F21+G21+H21+I21)</f>
        <v>0</v>
      </c>
      <c r="K21" s="39"/>
      <c r="L21" s="165" t="n">
        <f aca="false">'Main calculation'!C32</f>
        <v>2019</v>
      </c>
      <c r="M21" s="159"/>
      <c r="N21" s="159"/>
      <c r="O21" s="159"/>
      <c r="P21" s="159"/>
      <c r="Q21" s="159"/>
      <c r="R21" s="159"/>
      <c r="S21" s="159"/>
      <c r="T21" s="190" t="n">
        <f aca="false">M21*N21*(O21+P21+Q21+R21+S21)</f>
        <v>0</v>
      </c>
    </row>
    <row r="22" customFormat="false" ht="14.05" hidden="false" customHeight="false" outlineLevel="0" collapsed="false">
      <c r="A22" s="56" t="str">
        <f aca="false">IF('Main calculation'!$B$19=2020, "Starting year --&gt;","" )</f>
        <v/>
      </c>
      <c r="B22" s="57" t="n">
        <f aca="false">'Main calculation'!C33</f>
        <v>2020</v>
      </c>
      <c r="C22" s="159"/>
      <c r="D22" s="159"/>
      <c r="E22" s="159"/>
      <c r="F22" s="159"/>
      <c r="G22" s="159"/>
      <c r="H22" s="159"/>
      <c r="I22" s="159"/>
      <c r="J22" s="189" t="n">
        <f aca="false">C22*D22*(E22+F22+G22+H22+I22)</f>
        <v>0</v>
      </c>
      <c r="K22" s="39"/>
      <c r="L22" s="165" t="n">
        <f aca="false">'Main calculation'!C33</f>
        <v>2020</v>
      </c>
      <c r="M22" s="159"/>
      <c r="N22" s="159"/>
      <c r="O22" s="159"/>
      <c r="P22" s="159"/>
      <c r="Q22" s="159"/>
      <c r="R22" s="159"/>
      <c r="S22" s="159"/>
      <c r="T22" s="190" t="n">
        <f aca="false">M22*N22*(O22+P22+Q22+R22+S22)</f>
        <v>0</v>
      </c>
    </row>
    <row r="23" customFormat="false" ht="14.05" hidden="false" customHeight="false" outlineLevel="0" collapsed="false">
      <c r="A23" s="56" t="str">
        <f aca="false">IF('Main calculation'!$B$19=2021, "Starting year --&gt;","" )</f>
        <v/>
      </c>
      <c r="B23" s="57" t="n">
        <f aca="false">'Main calculation'!C34</f>
        <v>2021</v>
      </c>
      <c r="C23" s="159"/>
      <c r="D23" s="159"/>
      <c r="E23" s="159"/>
      <c r="F23" s="159"/>
      <c r="G23" s="159"/>
      <c r="H23" s="159"/>
      <c r="I23" s="159"/>
      <c r="J23" s="189" t="n">
        <f aca="false">C23*D23*(E23+F23+G23+H23+I23)</f>
        <v>0</v>
      </c>
      <c r="K23" s="39"/>
      <c r="L23" s="165" t="n">
        <f aca="false">'Main calculation'!C34</f>
        <v>2021</v>
      </c>
      <c r="M23" s="159"/>
      <c r="N23" s="159"/>
      <c r="O23" s="159"/>
      <c r="P23" s="159"/>
      <c r="Q23" s="159"/>
      <c r="R23" s="159"/>
      <c r="S23" s="159"/>
      <c r="T23" s="190" t="n">
        <f aca="false">M23*N23*(O23+P23+Q23+R23+S23)</f>
        <v>0</v>
      </c>
    </row>
    <row r="24" customFormat="false" ht="14.05" hidden="false" customHeight="false" outlineLevel="0" collapsed="false">
      <c r="A24" s="56" t="str">
        <f aca="false">IF('Main calculation'!$B$19=2022, "Starting year --&gt;","" )</f>
        <v/>
      </c>
      <c r="B24" s="57" t="n">
        <f aca="false">'Main calculation'!C35</f>
        <v>2022</v>
      </c>
      <c r="C24" s="159"/>
      <c r="D24" s="159"/>
      <c r="E24" s="159"/>
      <c r="F24" s="159"/>
      <c r="G24" s="159"/>
      <c r="H24" s="159"/>
      <c r="I24" s="159"/>
      <c r="J24" s="189" t="n">
        <f aca="false">C24*D24*(E24+F24+G24+H24+I24)</f>
        <v>0</v>
      </c>
      <c r="K24" s="39"/>
      <c r="L24" s="165" t="n">
        <f aca="false">'Main calculation'!C35</f>
        <v>2022</v>
      </c>
      <c r="M24" s="159"/>
      <c r="N24" s="159"/>
      <c r="O24" s="159"/>
      <c r="P24" s="159"/>
      <c r="Q24" s="159"/>
      <c r="R24" s="159"/>
      <c r="S24" s="159"/>
      <c r="T24" s="190" t="n">
        <f aca="false">M24*N24*(O24+P24+Q24+R24+S24)</f>
        <v>0</v>
      </c>
    </row>
    <row r="25" customFormat="false" ht="14.05" hidden="false" customHeight="false" outlineLevel="0" collapsed="false">
      <c r="A25" s="56" t="str">
        <f aca="false">IF('Main calculation'!$B$19=2023, "Starting year --&gt;","" )</f>
        <v/>
      </c>
      <c r="B25" s="57" t="n">
        <f aca="false">'Main calculation'!C36</f>
        <v>2023</v>
      </c>
      <c r="C25" s="159"/>
      <c r="D25" s="159"/>
      <c r="E25" s="159"/>
      <c r="F25" s="159"/>
      <c r="G25" s="159"/>
      <c r="H25" s="159"/>
      <c r="I25" s="159"/>
      <c r="J25" s="189" t="n">
        <f aca="false">C25*D25*(E25+F25+G25+H25+I25)</f>
        <v>0</v>
      </c>
      <c r="K25" s="39"/>
      <c r="L25" s="165" t="n">
        <f aca="false">'Main calculation'!C36</f>
        <v>2023</v>
      </c>
      <c r="M25" s="159"/>
      <c r="N25" s="159"/>
      <c r="O25" s="159"/>
      <c r="P25" s="159"/>
      <c r="Q25" s="159"/>
      <c r="R25" s="159"/>
      <c r="S25" s="159"/>
      <c r="T25" s="190" t="n">
        <f aca="false">M25*N25*(O25+P25+Q25+R25+S25)</f>
        <v>0</v>
      </c>
    </row>
    <row r="26" customFormat="false" ht="14.05" hidden="false" customHeight="false" outlineLevel="0" collapsed="false">
      <c r="A26" s="56" t="str">
        <f aca="false">IF('Main calculation'!$B$19=2024, "Starting year --&gt;","" )</f>
        <v/>
      </c>
      <c r="B26" s="57" t="n">
        <f aca="false">'Main calculation'!C37</f>
        <v>2024</v>
      </c>
      <c r="C26" s="159"/>
      <c r="D26" s="159"/>
      <c r="E26" s="159"/>
      <c r="F26" s="159"/>
      <c r="G26" s="159"/>
      <c r="H26" s="159"/>
      <c r="I26" s="159"/>
      <c r="J26" s="189" t="n">
        <f aca="false">C26*D26*(E26+F26+G26+H26+I26)</f>
        <v>0</v>
      </c>
      <c r="K26" s="39"/>
      <c r="L26" s="165" t="n">
        <f aca="false">'Main calculation'!C37</f>
        <v>2024</v>
      </c>
      <c r="M26" s="159"/>
      <c r="N26" s="159"/>
      <c r="O26" s="159"/>
      <c r="P26" s="159"/>
      <c r="Q26" s="159"/>
      <c r="R26" s="159"/>
      <c r="S26" s="159"/>
      <c r="T26" s="190" t="n">
        <f aca="false">M26*N26*(O26+P26+Q26+R26+S26)</f>
        <v>0</v>
      </c>
    </row>
    <row r="27" customFormat="false" ht="14.05" hidden="false" customHeight="false" outlineLevel="0" collapsed="false">
      <c r="A27" s="56" t="str">
        <f aca="false">IF('Main calculation'!$B$19=2025, "Starting year --&gt;","" )</f>
        <v/>
      </c>
      <c r="B27" s="57" t="n">
        <f aca="false">'Main calculation'!C38</f>
        <v>2025</v>
      </c>
      <c r="C27" s="159"/>
      <c r="D27" s="159"/>
      <c r="E27" s="159"/>
      <c r="F27" s="159"/>
      <c r="G27" s="159"/>
      <c r="H27" s="159"/>
      <c r="I27" s="159"/>
      <c r="J27" s="189" t="n">
        <f aca="false">C27*D27*(E27+F27+G27+H27+I27)</f>
        <v>0</v>
      </c>
      <c r="K27" s="39"/>
      <c r="L27" s="165" t="n">
        <f aca="false">'Main calculation'!C38</f>
        <v>2025</v>
      </c>
      <c r="M27" s="159"/>
      <c r="N27" s="159"/>
      <c r="O27" s="159"/>
      <c r="P27" s="159"/>
      <c r="Q27" s="159"/>
      <c r="R27" s="159"/>
      <c r="S27" s="159"/>
      <c r="T27" s="190" t="n">
        <f aca="false">M27*N27*(O27+P27+Q27+R27+S27)</f>
        <v>0</v>
      </c>
    </row>
    <row r="28" customFormat="false" ht="14.05" hidden="false" customHeight="false" outlineLevel="0" collapsed="false">
      <c r="A28" s="56" t="str">
        <f aca="false">IF('Main calculation'!$B$19=2026, "Starting year --&gt;","" )</f>
        <v/>
      </c>
      <c r="B28" s="57" t="n">
        <f aca="false">'Main calculation'!C39</f>
        <v>2026</v>
      </c>
      <c r="C28" s="159"/>
      <c r="D28" s="159"/>
      <c r="E28" s="159"/>
      <c r="F28" s="159"/>
      <c r="G28" s="159"/>
      <c r="H28" s="159"/>
      <c r="I28" s="159"/>
      <c r="J28" s="189" t="n">
        <f aca="false">C28*D28*(E28+F28+G28+H28+I28)</f>
        <v>0</v>
      </c>
      <c r="K28" s="39"/>
      <c r="L28" s="165" t="n">
        <f aca="false">'Main calculation'!C39</f>
        <v>2026</v>
      </c>
      <c r="M28" s="159"/>
      <c r="N28" s="159"/>
      <c r="O28" s="159"/>
      <c r="P28" s="159"/>
      <c r="Q28" s="159"/>
      <c r="R28" s="159"/>
      <c r="S28" s="159"/>
      <c r="T28" s="190" t="n">
        <f aca="false">M28*N28*(O28+P28+Q28+R28+S28)</f>
        <v>0</v>
      </c>
    </row>
    <row r="29" customFormat="false" ht="14.05" hidden="false" customHeight="false" outlineLevel="0" collapsed="false">
      <c r="A29" s="56" t="str">
        <f aca="false">IF('Main calculation'!$B$19=2027, "Starting year --&gt;","" )</f>
        <v/>
      </c>
      <c r="B29" s="57" t="n">
        <f aca="false">'Main calculation'!C40</f>
        <v>2027</v>
      </c>
      <c r="C29" s="159"/>
      <c r="D29" s="159"/>
      <c r="E29" s="159"/>
      <c r="F29" s="159"/>
      <c r="G29" s="159"/>
      <c r="H29" s="159"/>
      <c r="I29" s="159"/>
      <c r="J29" s="189" t="n">
        <f aca="false">C29*D29*(E29+F29+G29+H29+I29)</f>
        <v>0</v>
      </c>
      <c r="K29" s="39"/>
      <c r="L29" s="165" t="n">
        <f aca="false">'Main calculation'!C40</f>
        <v>2027</v>
      </c>
      <c r="M29" s="159"/>
      <c r="N29" s="159"/>
      <c r="O29" s="159"/>
      <c r="P29" s="159"/>
      <c r="Q29" s="159"/>
      <c r="R29" s="159"/>
      <c r="S29" s="159"/>
      <c r="T29" s="190" t="n">
        <f aca="false">M29*N29*(O29+P29+Q29+R29+S29)</f>
        <v>0</v>
      </c>
    </row>
    <row r="30" customFormat="false" ht="14.05" hidden="false" customHeight="false" outlineLevel="0" collapsed="false">
      <c r="A30" s="56" t="str">
        <f aca="false">IF('Main calculation'!$B$20=2028, "Finishing year --&gt;","" )</f>
        <v>Finishing year --&gt;</v>
      </c>
      <c r="B30" s="57" t="n">
        <f aca="false">'Main calculation'!C41</f>
        <v>2028</v>
      </c>
      <c r="C30" s="159"/>
      <c r="D30" s="159"/>
      <c r="E30" s="159"/>
      <c r="F30" s="159"/>
      <c r="G30" s="159"/>
      <c r="H30" s="159"/>
      <c r="I30" s="159"/>
      <c r="J30" s="189" t="n">
        <f aca="false">C30*D30*(E30+F30+G30+H30+I30)</f>
        <v>0</v>
      </c>
      <c r="K30" s="39"/>
      <c r="L30" s="165" t="n">
        <f aca="false">'Main calculation'!C41</f>
        <v>2028</v>
      </c>
      <c r="M30" s="159"/>
      <c r="N30" s="159"/>
      <c r="O30" s="159"/>
      <c r="P30" s="159"/>
      <c r="Q30" s="159"/>
      <c r="R30" s="159"/>
      <c r="S30" s="159"/>
      <c r="T30" s="190" t="n">
        <f aca="false">M30*N30*(O30+P30+Q30+R30+S30)</f>
        <v>0</v>
      </c>
    </row>
    <row r="31" customFormat="false" ht="14.05" hidden="false" customHeight="false" outlineLevel="0" collapsed="false">
      <c r="A31" s="56" t="str">
        <f aca="false">IF('Main calculation'!$B$20=2029, "Finishing year --&gt;","" )</f>
        <v/>
      </c>
      <c r="B31" s="57" t="n">
        <f aca="false">'Main calculation'!C42</f>
        <v>2029</v>
      </c>
      <c r="C31" s="159"/>
      <c r="D31" s="159"/>
      <c r="E31" s="159"/>
      <c r="F31" s="159"/>
      <c r="G31" s="159"/>
      <c r="H31" s="159"/>
      <c r="I31" s="159"/>
      <c r="J31" s="189" t="n">
        <f aca="false">C31*D31*(E31+F31+G31+H31+I31)</f>
        <v>0</v>
      </c>
      <c r="K31" s="39"/>
      <c r="L31" s="165" t="n">
        <f aca="false">'Main calculation'!C42</f>
        <v>2029</v>
      </c>
      <c r="M31" s="159"/>
      <c r="N31" s="159"/>
      <c r="O31" s="159"/>
      <c r="P31" s="159"/>
      <c r="Q31" s="159"/>
      <c r="R31" s="159"/>
      <c r="S31" s="159"/>
      <c r="T31" s="190" t="n">
        <f aca="false">M31*N31*(O31+P31+Q31+R31+S31)</f>
        <v>0</v>
      </c>
    </row>
    <row r="32" customFormat="false" ht="14.05" hidden="false" customHeight="false" outlineLevel="0" collapsed="false">
      <c r="A32" s="56" t="str">
        <f aca="false">IF('Main calculation'!$B$20=2030, "Finishing year --&gt;","" )</f>
        <v/>
      </c>
      <c r="B32" s="57" t="n">
        <f aca="false">'Main calculation'!C43</f>
        <v>2030</v>
      </c>
      <c r="C32" s="159"/>
      <c r="D32" s="159"/>
      <c r="E32" s="159"/>
      <c r="F32" s="159"/>
      <c r="G32" s="159"/>
      <c r="H32" s="159"/>
      <c r="I32" s="159"/>
      <c r="J32" s="189" t="n">
        <f aca="false">C32*D32*(E32+F32+G32+H32+I32)</f>
        <v>0</v>
      </c>
      <c r="K32" s="39"/>
      <c r="L32" s="165" t="n">
        <f aca="false">'Main calculation'!C43</f>
        <v>2030</v>
      </c>
      <c r="M32" s="159"/>
      <c r="N32" s="159"/>
      <c r="O32" s="159"/>
      <c r="P32" s="159"/>
      <c r="Q32" s="159"/>
      <c r="R32" s="159"/>
      <c r="S32" s="159"/>
      <c r="T32" s="190" t="n">
        <f aca="false">M32*N32*(O32+P32+Q32+R32+S32)</f>
        <v>0</v>
      </c>
    </row>
    <row r="33" customFormat="false" ht="14.05" hidden="false" customHeight="false" outlineLevel="0" collapsed="false">
      <c r="A33" s="56" t="str">
        <f aca="false">IF('Main calculation'!$B$20=2031, "Finishing year --&gt;","" )</f>
        <v/>
      </c>
    </row>
    <row r="34" s="11" customFormat="true" ht="14.05" hidden="false" customHeight="false" outlineLevel="0" collapsed="false">
      <c r="A34" s="56" t="str">
        <f aca="false">IF('Main calculation'!$B$20=2032, "Finishing year --&gt;","" )</f>
        <v/>
      </c>
    </row>
    <row r="35" customFormat="false" ht="14.05" hidden="false" customHeight="false" outlineLevel="0" collapsed="false">
      <c r="A35" s="56" t="str">
        <f aca="false">IF('Main calculation'!$B$20=2033, "Finishing year --&gt;","" )</f>
        <v/>
      </c>
      <c r="B35" s="22"/>
    </row>
    <row r="36" customFormat="false" ht="14.05" hidden="false" customHeight="false" outlineLevel="0" collapsed="false">
      <c r="A36" s="56"/>
    </row>
    <row r="38" customFormat="false" ht="14.05" hidden="false" customHeight="false" outlineLevel="0" collapsed="false">
      <c r="A38" s="191"/>
      <c r="B38" s="191"/>
      <c r="C38" s="191"/>
      <c r="D38" s="191"/>
      <c r="E38" s="191"/>
      <c r="F38" s="191"/>
      <c r="G38" s="191"/>
      <c r="H38" s="191"/>
      <c r="I38" s="191"/>
    </row>
    <row r="39" customFormat="false" ht="14.05" hidden="false" customHeight="false" outlineLevel="0" collapsed="false">
      <c r="A39" s="191"/>
      <c r="B39" s="192"/>
      <c r="C39" s="191"/>
      <c r="D39" s="191"/>
      <c r="E39" s="191"/>
      <c r="F39" s="191"/>
      <c r="G39" s="191"/>
      <c r="H39" s="191"/>
      <c r="I39" s="191"/>
    </row>
    <row r="40" customFormat="false" ht="14.05" hidden="false" customHeight="false" outlineLevel="0" collapsed="false">
      <c r="A40" s="191"/>
      <c r="B40" s="192"/>
      <c r="C40" s="191"/>
      <c r="D40" s="191"/>
      <c r="E40" s="191"/>
      <c r="F40" s="191"/>
      <c r="G40" s="191"/>
      <c r="H40" s="191"/>
      <c r="I40" s="191"/>
    </row>
    <row r="41" customFormat="false" ht="17.65" hidden="false" customHeight="false" outlineLevel="0" collapsed="false">
      <c r="A41" s="193"/>
      <c r="B41" s="194"/>
      <c r="C41" s="194"/>
      <c r="D41" s="194"/>
      <c r="E41" s="191"/>
      <c r="F41" s="193"/>
      <c r="G41" s="194"/>
      <c r="H41" s="194"/>
      <c r="I41" s="194"/>
    </row>
    <row r="42" customFormat="false" ht="14.05" hidden="false" customHeight="false" outlineLevel="0" collapsed="false">
      <c r="A42" s="191"/>
      <c r="B42" s="195"/>
      <c r="C42" s="195"/>
      <c r="D42" s="195"/>
      <c r="E42" s="196"/>
      <c r="F42" s="196"/>
      <c r="G42" s="195"/>
      <c r="H42" s="195"/>
      <c r="I42" s="195"/>
    </row>
    <row r="43" customFormat="false" ht="14.05" hidden="false" customHeight="false" outlineLevel="0" collapsed="false">
      <c r="A43" s="191"/>
      <c r="B43" s="197"/>
      <c r="C43" s="197"/>
      <c r="D43" s="198"/>
      <c r="E43" s="197"/>
      <c r="F43" s="191"/>
      <c r="G43" s="197"/>
      <c r="H43" s="197"/>
      <c r="I43" s="198"/>
    </row>
    <row r="44" customFormat="false" ht="14.05" hidden="false" customHeight="false" outlineLevel="0" collapsed="false">
      <c r="A44" s="191"/>
      <c r="B44" s="197"/>
      <c r="C44" s="197"/>
      <c r="D44" s="198"/>
      <c r="E44" s="197"/>
      <c r="F44" s="191"/>
      <c r="G44" s="197"/>
      <c r="H44" s="197"/>
      <c r="I44" s="198"/>
    </row>
    <row r="45" customFormat="false" ht="14.05" hidden="false" customHeight="false" outlineLevel="0" collapsed="false">
      <c r="A45" s="191"/>
      <c r="B45" s="197"/>
      <c r="C45" s="197"/>
      <c r="D45" s="198"/>
      <c r="E45" s="197"/>
      <c r="F45" s="191"/>
      <c r="G45" s="197"/>
      <c r="H45" s="197"/>
      <c r="I45" s="198"/>
    </row>
    <row r="46" customFormat="false" ht="14.05" hidden="false" customHeight="false" outlineLevel="0" collapsed="false">
      <c r="A46" s="191"/>
      <c r="B46" s="197"/>
      <c r="C46" s="197"/>
      <c r="D46" s="198"/>
      <c r="E46" s="197"/>
      <c r="F46" s="191"/>
      <c r="G46" s="197"/>
      <c r="H46" s="197"/>
      <c r="I46" s="198"/>
    </row>
    <row r="47" customFormat="false" ht="14.05" hidden="false" customHeight="false" outlineLevel="0" collapsed="false">
      <c r="A47" s="191"/>
      <c r="B47" s="197"/>
      <c r="C47" s="197"/>
      <c r="D47" s="198"/>
      <c r="E47" s="197"/>
      <c r="F47" s="191"/>
      <c r="G47" s="197"/>
      <c r="H47" s="197"/>
      <c r="I47" s="198"/>
    </row>
    <row r="48" customFormat="false" ht="14.05" hidden="false" customHeight="false" outlineLevel="0" collapsed="false">
      <c r="A48" s="191"/>
      <c r="B48" s="197"/>
      <c r="C48" s="197"/>
      <c r="D48" s="198"/>
      <c r="E48" s="197"/>
      <c r="F48" s="191"/>
      <c r="G48" s="197"/>
      <c r="H48" s="197"/>
      <c r="I48" s="198"/>
    </row>
    <row r="49" customFormat="false" ht="14.05" hidden="false" customHeight="false" outlineLevel="0" collapsed="false">
      <c r="A49" s="191"/>
      <c r="B49" s="197"/>
      <c r="C49" s="197"/>
      <c r="D49" s="198"/>
      <c r="E49" s="197"/>
      <c r="F49" s="191"/>
      <c r="G49" s="197"/>
      <c r="H49" s="197"/>
      <c r="I49" s="198"/>
    </row>
    <row r="50" customFormat="false" ht="14.05" hidden="false" customHeight="false" outlineLevel="0" collapsed="false">
      <c r="A50" s="191"/>
      <c r="B50" s="197"/>
      <c r="C50" s="197"/>
      <c r="D50" s="198"/>
      <c r="E50" s="197"/>
      <c r="F50" s="191"/>
      <c r="G50" s="197"/>
      <c r="H50" s="197"/>
      <c r="I50" s="198"/>
    </row>
    <row r="51" customFormat="false" ht="14.05" hidden="false" customHeight="false" outlineLevel="0" collapsed="false">
      <c r="A51" s="191"/>
      <c r="B51" s="197"/>
      <c r="C51" s="197"/>
      <c r="D51" s="198"/>
      <c r="E51" s="197"/>
      <c r="F51" s="191"/>
      <c r="G51" s="197"/>
      <c r="H51" s="197"/>
      <c r="I51" s="198"/>
    </row>
    <row r="52" customFormat="false" ht="14.05" hidden="false" customHeight="false" outlineLevel="0" collapsed="false">
      <c r="A52" s="191"/>
      <c r="B52" s="197"/>
      <c r="C52" s="197"/>
      <c r="D52" s="198"/>
      <c r="E52" s="197"/>
      <c r="F52" s="191"/>
      <c r="G52" s="197"/>
      <c r="H52" s="197"/>
      <c r="I52" s="198"/>
    </row>
    <row r="53" customFormat="false" ht="14.05" hidden="false" customHeight="false" outlineLevel="0" collapsed="false">
      <c r="A53" s="191"/>
      <c r="B53" s="197"/>
      <c r="C53" s="197"/>
      <c r="D53" s="198"/>
      <c r="E53" s="197"/>
      <c r="F53" s="191"/>
      <c r="G53" s="197"/>
      <c r="H53" s="197"/>
      <c r="I53" s="198"/>
    </row>
    <row r="54" customFormat="false" ht="14.05" hidden="false" customHeight="false" outlineLevel="0" collapsed="false">
      <c r="A54" s="191"/>
      <c r="B54" s="197"/>
      <c r="C54" s="197"/>
      <c r="D54" s="198"/>
      <c r="E54" s="197"/>
      <c r="F54" s="191"/>
      <c r="G54" s="197"/>
      <c r="H54" s="197"/>
      <c r="I54" s="198"/>
    </row>
    <row r="55" customFormat="false" ht="14.05" hidden="false" customHeight="false" outlineLevel="0" collapsed="false">
      <c r="A55" s="191"/>
      <c r="B55" s="197"/>
      <c r="C55" s="197"/>
      <c r="D55" s="198"/>
      <c r="E55" s="197"/>
      <c r="F55" s="191"/>
      <c r="G55" s="197"/>
      <c r="H55" s="197"/>
      <c r="I55" s="198"/>
    </row>
    <row r="56" customFormat="false" ht="14.05" hidden="false" customHeight="false" outlineLevel="0" collapsed="false">
      <c r="A56" s="191"/>
      <c r="B56" s="197"/>
      <c r="C56" s="197"/>
      <c r="D56" s="198"/>
      <c r="E56" s="197"/>
      <c r="F56" s="191"/>
      <c r="G56" s="197"/>
      <c r="H56" s="197"/>
      <c r="I56" s="198"/>
    </row>
    <row r="57" customFormat="false" ht="14.05" hidden="false" customHeight="false" outlineLevel="0" collapsed="false">
      <c r="A57" s="191"/>
      <c r="B57" s="197"/>
      <c r="C57" s="197"/>
      <c r="D57" s="198"/>
      <c r="E57" s="197"/>
      <c r="F57" s="191"/>
      <c r="G57" s="197"/>
      <c r="H57" s="197"/>
      <c r="I57" s="198"/>
    </row>
    <row r="58" customFormat="false" ht="14.05" hidden="false" customHeight="false" outlineLevel="0" collapsed="false">
      <c r="A58" s="191"/>
      <c r="B58" s="197"/>
      <c r="C58" s="197"/>
      <c r="D58" s="198"/>
      <c r="E58" s="197"/>
      <c r="F58" s="191"/>
      <c r="G58" s="197"/>
      <c r="H58" s="197"/>
      <c r="I58" s="198"/>
    </row>
    <row r="59" customFormat="false" ht="14.05" hidden="false" customHeight="false" outlineLevel="0" collapsed="false">
      <c r="A59" s="191"/>
      <c r="B59" s="191"/>
      <c r="C59" s="191"/>
      <c r="D59" s="191"/>
      <c r="E59" s="191"/>
      <c r="F59" s="191"/>
      <c r="G59" s="191"/>
      <c r="H59" s="191"/>
      <c r="I59" s="191"/>
    </row>
  </sheetData>
  <mergeCells count="3">
    <mergeCell ref="A3:F3"/>
    <mergeCell ref="A7:F7"/>
    <mergeCell ref="A11:G11"/>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A1:K34"/>
  <sheetViews>
    <sheetView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4.05" zeroHeight="false" outlineLevelRow="0" outlineLevelCol="0"/>
  <cols>
    <col collapsed="false" customWidth="true" hidden="false" outlineLevel="0" max="1" min="1" style="199" width="22.78"/>
    <col collapsed="false" customWidth="true" hidden="false" outlineLevel="0" max="5" min="2" style="1" width="15.75"/>
    <col collapsed="false" customWidth="true" hidden="false" outlineLevel="0" max="6" min="6" style="1" width="5.58"/>
    <col collapsed="false" customWidth="true" hidden="false" outlineLevel="0" max="10" min="7" style="1" width="15.75"/>
    <col collapsed="false" customWidth="true" hidden="false" outlineLevel="0" max="11" min="11" style="1" width="9.16"/>
    <col collapsed="false" customWidth="true" hidden="false" outlineLevel="0" max="12" min="12" style="1" width="21.56"/>
    <col collapsed="false" customWidth="true" hidden="false" outlineLevel="0" max="13" min="13" style="1" width="12.39"/>
    <col collapsed="false" customWidth="true" hidden="false" outlineLevel="0" max="14" min="14" style="1" width="13.4"/>
    <col collapsed="false" customWidth="true" hidden="false" outlineLevel="0" max="15" min="15" style="1" width="14.62"/>
    <col collapsed="false" customWidth="true" hidden="false" outlineLevel="0" max="16" min="16" style="1" width="9.16"/>
    <col collapsed="false" customWidth="true" hidden="false" outlineLevel="0" max="1025" min="17" style="1" width="8.71"/>
  </cols>
  <sheetData>
    <row r="1" customFormat="false" ht="17.65" hidden="false" customHeight="false" outlineLevel="0" collapsed="false">
      <c r="A1" s="82" t="s">
        <v>112</v>
      </c>
      <c r="K1" s="1" t="s">
        <v>113</v>
      </c>
    </row>
    <row r="2" customFormat="false" ht="14.05" hidden="false" customHeight="false" outlineLevel="0" collapsed="false">
      <c r="A2" s="22" t="s">
        <v>97</v>
      </c>
    </row>
    <row r="3" customFormat="false" ht="63" hidden="false" customHeight="true" outlineLevel="0" collapsed="false">
      <c r="A3" s="3" t="s">
        <v>114</v>
      </c>
      <c r="B3" s="3"/>
      <c r="C3" s="3"/>
      <c r="D3" s="3"/>
      <c r="E3" s="3"/>
      <c r="F3" s="132"/>
      <c r="G3" s="132"/>
    </row>
    <row r="4" customFormat="false" ht="14.05" hidden="false" customHeight="false" outlineLevel="0" collapsed="false">
      <c r="A4" s="21"/>
      <c r="B4" s="21"/>
      <c r="C4" s="21"/>
      <c r="D4" s="21"/>
      <c r="E4" s="21"/>
      <c r="F4" s="21"/>
      <c r="G4" s="21"/>
    </row>
    <row r="5" customFormat="false" ht="14.05" hidden="false" customHeight="false" outlineLevel="0" collapsed="false">
      <c r="A5" s="89" t="s">
        <v>54</v>
      </c>
      <c r="B5" s="21"/>
      <c r="C5" s="21"/>
      <c r="D5" s="21"/>
      <c r="E5" s="21"/>
      <c r="F5" s="21"/>
      <c r="G5" s="21"/>
    </row>
    <row r="6" customFormat="false" ht="14.05" hidden="false" customHeight="false" outlineLevel="0" collapsed="false">
      <c r="A6" s="199" t="s">
        <v>115</v>
      </c>
    </row>
    <row r="7" customFormat="false" ht="15" hidden="false" customHeight="true" outlineLevel="0" collapsed="false">
      <c r="A7" s="46" t="s">
        <v>116</v>
      </c>
      <c r="B7" s="46"/>
      <c r="C7" s="46"/>
      <c r="D7" s="46"/>
      <c r="E7" s="46"/>
    </row>
    <row r="9" customFormat="false" ht="14.05" hidden="false" customHeight="false" outlineLevel="0" collapsed="false">
      <c r="E9" s="30" t="s">
        <v>117</v>
      </c>
    </row>
    <row r="10" customFormat="false" ht="14.05" hidden="false" customHeight="false" outlineLevel="0" collapsed="false">
      <c r="A10" s="200" t="str">
        <f aca="false">'Monetary Values'!B75</f>
        <v>Weighted average op cost per veh km, urban main roads</v>
      </c>
      <c r="B10" s="200"/>
      <c r="C10" s="200"/>
      <c r="D10" s="200"/>
      <c r="E10" s="201" t="n">
        <f aca="false">HLOOKUP('Main calculation'!$B$17,'Monetary Values'!$D$4:$G$75,72,0)</f>
        <v>0.496680187939709</v>
      </c>
    </row>
    <row r="12" customFormat="false" ht="17.65" hidden="false" customHeight="false" outlineLevel="0" collapsed="false">
      <c r="B12" s="202" t="s">
        <v>27</v>
      </c>
      <c r="C12" s="203"/>
      <c r="D12" s="203"/>
      <c r="E12" s="203"/>
      <c r="F12" s="39"/>
      <c r="G12" s="40" t="s">
        <v>28</v>
      </c>
      <c r="H12" s="41"/>
      <c r="I12" s="41"/>
      <c r="J12" s="41"/>
    </row>
    <row r="13" customFormat="false" ht="46.2" hidden="false" customHeight="true" outlineLevel="0" collapsed="false">
      <c r="B13" s="57" t="s">
        <v>30</v>
      </c>
      <c r="C13" s="187" t="s">
        <v>118</v>
      </c>
      <c r="D13" s="187" t="s">
        <v>24</v>
      </c>
      <c r="E13" s="187" t="s">
        <v>119</v>
      </c>
      <c r="F13" s="51"/>
      <c r="G13" s="100" t="s">
        <v>30</v>
      </c>
      <c r="H13" s="3" t="s">
        <v>118</v>
      </c>
      <c r="I13" s="3" t="s">
        <v>24</v>
      </c>
      <c r="J13" s="3" t="s">
        <v>119</v>
      </c>
    </row>
    <row r="14" customFormat="false" ht="14.05" hidden="false" customHeight="false" outlineLevel="0" collapsed="false">
      <c r="A14" s="56" t="str">
        <f aca="false">IF('Main calculation'!$B$19=2013, "Starting year --&gt;","" )</f>
        <v/>
      </c>
      <c r="B14" s="57" t="n">
        <f aca="false">'Main calculation'!C26</f>
        <v>2013</v>
      </c>
      <c r="C14" s="204"/>
      <c r="D14" s="57" t="n">
        <f aca="false">'Main calculation'!B21</f>
        <v>300</v>
      </c>
      <c r="E14" s="190" t="n">
        <f aca="false">$E$10*C14*D14</f>
        <v>0</v>
      </c>
      <c r="F14" s="51"/>
      <c r="G14" s="100" t="n">
        <f aca="false">'Main calculation'!C26</f>
        <v>2013</v>
      </c>
      <c r="H14" s="159"/>
      <c r="I14" s="57" t="n">
        <f aca="false">'Main calculation'!$B$21</f>
        <v>300</v>
      </c>
      <c r="J14" s="190" t="n">
        <f aca="false">$E$10*H14*I14</f>
        <v>0</v>
      </c>
    </row>
    <row r="15" customFormat="false" ht="14.05" hidden="false" customHeight="false" outlineLevel="0" collapsed="false">
      <c r="A15" s="56" t="str">
        <f aca="false">IF('Main calculation'!$B$19=2014, "Starting year --&gt;","" )</f>
        <v>Starting year --&gt;</v>
      </c>
      <c r="B15" s="57" t="n">
        <f aca="false">'Main calculation'!C27</f>
        <v>2014</v>
      </c>
      <c r="C15" s="204" t="n">
        <v>5840</v>
      </c>
      <c r="D15" s="57" t="n">
        <f aca="false">'Main calculation'!B21</f>
        <v>300</v>
      </c>
      <c r="E15" s="205" t="n">
        <f aca="false">$E$10*C15*D15</f>
        <v>870183.68927037</v>
      </c>
      <c r="F15" s="51"/>
      <c r="G15" s="100" t="n">
        <f aca="false">'Main calculation'!C27</f>
        <v>2014</v>
      </c>
      <c r="H15" s="159" t="n">
        <v>7240</v>
      </c>
      <c r="I15" s="57" t="n">
        <f aca="false">'Main calculation'!$B$21</f>
        <v>300</v>
      </c>
      <c r="J15" s="205" t="n">
        <f aca="false">$E$10*H15*I15</f>
        <v>1078789.36820505</v>
      </c>
    </row>
    <row r="16" customFormat="false" ht="14.05" hidden="false" customHeight="false" outlineLevel="0" collapsed="false">
      <c r="A16" s="56" t="str">
        <f aca="false">IF('Main calculation'!$B$19=2015, "Starting year --&gt;","" )</f>
        <v/>
      </c>
      <c r="B16" s="57" t="n">
        <f aca="false">'Main calculation'!C28</f>
        <v>2015</v>
      </c>
      <c r="C16" s="204" t="n">
        <v>5840</v>
      </c>
      <c r="D16" s="57" t="n">
        <f aca="false">'Main calculation'!B21</f>
        <v>300</v>
      </c>
      <c r="E16" s="205" t="n">
        <f aca="false">$E$10*C16*D16</f>
        <v>870183.68927037</v>
      </c>
      <c r="F16" s="39"/>
      <c r="G16" s="100" t="n">
        <f aca="false">'Main calculation'!C28</f>
        <v>2015</v>
      </c>
      <c r="H16" s="159" t="n">
        <v>7240</v>
      </c>
      <c r="I16" s="57" t="n">
        <f aca="false">'Main calculation'!$B$21</f>
        <v>300</v>
      </c>
      <c r="J16" s="205" t="n">
        <f aca="false">$E$10*H16*I16</f>
        <v>1078789.36820505</v>
      </c>
    </row>
    <row r="17" customFormat="false" ht="14.05" hidden="false" customHeight="false" outlineLevel="0" collapsed="false">
      <c r="A17" s="56" t="str">
        <f aca="false">IF('Main calculation'!$B$19=2016, "Starting year --&gt;","" )</f>
        <v/>
      </c>
      <c r="B17" s="57" t="n">
        <f aca="false">'Main calculation'!C29</f>
        <v>2016</v>
      </c>
      <c r="C17" s="204" t="n">
        <v>5840</v>
      </c>
      <c r="D17" s="57" t="n">
        <f aca="false">'Main calculation'!B21</f>
        <v>300</v>
      </c>
      <c r="E17" s="205" t="n">
        <f aca="false">$E$10*C17*D17</f>
        <v>870183.68927037</v>
      </c>
      <c r="F17" s="39"/>
      <c r="G17" s="100" t="n">
        <f aca="false">'Main calculation'!C29</f>
        <v>2016</v>
      </c>
      <c r="H17" s="159" t="n">
        <v>7240</v>
      </c>
      <c r="I17" s="57" t="n">
        <f aca="false">'Main calculation'!$B$21</f>
        <v>300</v>
      </c>
      <c r="J17" s="205" t="n">
        <f aca="false">$E$10*H17*I17</f>
        <v>1078789.36820505</v>
      </c>
    </row>
    <row r="18" customFormat="false" ht="14.05" hidden="false" customHeight="false" outlineLevel="0" collapsed="false">
      <c r="A18" s="56" t="str">
        <f aca="false">IF('Main calculation'!$B$19=2017, "Starting year --&gt;","" )</f>
        <v/>
      </c>
      <c r="B18" s="57" t="n">
        <f aca="false">'Main calculation'!C30</f>
        <v>2017</v>
      </c>
      <c r="C18" s="204" t="n">
        <v>5840</v>
      </c>
      <c r="D18" s="57" t="n">
        <f aca="false">'Main calculation'!B21</f>
        <v>300</v>
      </c>
      <c r="E18" s="205" t="n">
        <f aca="false">$E$10*C18*D18</f>
        <v>870183.68927037</v>
      </c>
      <c r="F18" s="39"/>
      <c r="G18" s="100" t="n">
        <f aca="false">'Main calculation'!C30</f>
        <v>2017</v>
      </c>
      <c r="H18" s="159" t="n">
        <v>7240</v>
      </c>
      <c r="I18" s="57" t="n">
        <f aca="false">'Main calculation'!$B$21</f>
        <v>300</v>
      </c>
      <c r="J18" s="205" t="n">
        <f aca="false">$E$10*H18*I18</f>
        <v>1078789.36820505</v>
      </c>
    </row>
    <row r="19" customFormat="false" ht="14.05" hidden="false" customHeight="false" outlineLevel="0" collapsed="false">
      <c r="A19" s="56" t="str">
        <f aca="false">IF('Main calculation'!$B$19=2018, "Starting year --&gt;","" )</f>
        <v/>
      </c>
      <c r="B19" s="57" t="n">
        <f aca="false">'Main calculation'!C31</f>
        <v>2018</v>
      </c>
      <c r="C19" s="204" t="n">
        <v>5840</v>
      </c>
      <c r="D19" s="57" t="n">
        <f aca="false">'Main calculation'!B21</f>
        <v>300</v>
      </c>
      <c r="E19" s="205" t="n">
        <f aca="false">$E$10*C19*D19</f>
        <v>870183.68927037</v>
      </c>
      <c r="F19" s="39"/>
      <c r="G19" s="100" t="n">
        <f aca="false">'Main calculation'!C31</f>
        <v>2018</v>
      </c>
      <c r="H19" s="159" t="n">
        <v>7240</v>
      </c>
      <c r="I19" s="57" t="n">
        <f aca="false">'Main calculation'!$B$21</f>
        <v>300</v>
      </c>
      <c r="J19" s="205" t="n">
        <f aca="false">$E$10*H19*I19</f>
        <v>1078789.36820505</v>
      </c>
    </row>
    <row r="20" customFormat="false" ht="14.05" hidden="false" customHeight="false" outlineLevel="0" collapsed="false">
      <c r="A20" s="56" t="str">
        <f aca="false">IF('Main calculation'!$B$19=2019, "Starting year --&gt;","" )</f>
        <v/>
      </c>
      <c r="B20" s="57" t="n">
        <f aca="false">'Main calculation'!C32</f>
        <v>2019</v>
      </c>
      <c r="C20" s="204" t="n">
        <v>5840</v>
      </c>
      <c r="D20" s="57" t="n">
        <f aca="false">'Main calculation'!B21</f>
        <v>300</v>
      </c>
      <c r="E20" s="205" t="n">
        <f aca="false">$E$10*C20*D20</f>
        <v>870183.68927037</v>
      </c>
      <c r="F20" s="39"/>
      <c r="G20" s="100" t="n">
        <f aca="false">'Main calculation'!C32</f>
        <v>2019</v>
      </c>
      <c r="H20" s="159" t="n">
        <v>7240</v>
      </c>
      <c r="I20" s="57" t="n">
        <f aca="false">'Main calculation'!$B$21</f>
        <v>300</v>
      </c>
      <c r="J20" s="205" t="n">
        <f aca="false">$E$10*H20*I20</f>
        <v>1078789.36820505</v>
      </c>
    </row>
    <row r="21" customFormat="false" ht="14.05" hidden="false" customHeight="false" outlineLevel="0" collapsed="false">
      <c r="A21" s="56" t="str">
        <f aca="false">IF('Main calculation'!$B$19=2020, "Starting year --&gt;","" )</f>
        <v/>
      </c>
      <c r="B21" s="57" t="n">
        <f aca="false">'Main calculation'!C33</f>
        <v>2020</v>
      </c>
      <c r="C21" s="204" t="n">
        <v>5840</v>
      </c>
      <c r="D21" s="57" t="n">
        <f aca="false">'Main calculation'!B21</f>
        <v>300</v>
      </c>
      <c r="E21" s="205" t="n">
        <f aca="false">$E$10*C21*D21</f>
        <v>870183.68927037</v>
      </c>
      <c r="F21" s="39"/>
      <c r="G21" s="100" t="n">
        <f aca="false">'Main calculation'!C33</f>
        <v>2020</v>
      </c>
      <c r="H21" s="159" t="n">
        <v>7240</v>
      </c>
      <c r="I21" s="57" t="n">
        <f aca="false">'Main calculation'!$B$21</f>
        <v>300</v>
      </c>
      <c r="J21" s="205" t="n">
        <f aca="false">$E$10*H21*I21</f>
        <v>1078789.36820505</v>
      </c>
    </row>
    <row r="22" customFormat="false" ht="14.05" hidden="false" customHeight="false" outlineLevel="0" collapsed="false">
      <c r="A22" s="56" t="str">
        <f aca="false">IF('Main calculation'!$B$19=2021, "Starting year --&gt;","" )</f>
        <v/>
      </c>
      <c r="B22" s="57" t="n">
        <f aca="false">'Main calculation'!C34</f>
        <v>2021</v>
      </c>
      <c r="C22" s="204" t="n">
        <v>5840</v>
      </c>
      <c r="D22" s="57" t="n">
        <f aca="false">'Main calculation'!B21</f>
        <v>300</v>
      </c>
      <c r="E22" s="205" t="n">
        <f aca="false">$E$10*C22*D22</f>
        <v>870183.68927037</v>
      </c>
      <c r="F22" s="39"/>
      <c r="G22" s="100" t="n">
        <f aca="false">'Main calculation'!C34</f>
        <v>2021</v>
      </c>
      <c r="H22" s="159" t="n">
        <v>7240</v>
      </c>
      <c r="I22" s="57" t="n">
        <f aca="false">'Main calculation'!$B$21</f>
        <v>300</v>
      </c>
      <c r="J22" s="205" t="n">
        <f aca="false">$E$10*H22*I22</f>
        <v>1078789.36820505</v>
      </c>
    </row>
    <row r="23" customFormat="false" ht="14.05" hidden="false" customHeight="false" outlineLevel="0" collapsed="false">
      <c r="A23" s="56" t="str">
        <f aca="false">IF('Main calculation'!$B$19=2022, "Starting year --&gt;","" )</f>
        <v/>
      </c>
      <c r="B23" s="57" t="n">
        <f aca="false">'Main calculation'!C35</f>
        <v>2022</v>
      </c>
      <c r="C23" s="204" t="n">
        <v>5840</v>
      </c>
      <c r="D23" s="57" t="n">
        <f aca="false">'Main calculation'!B21</f>
        <v>300</v>
      </c>
      <c r="E23" s="205" t="n">
        <f aca="false">$E$10*C23*D23</f>
        <v>870183.68927037</v>
      </c>
      <c r="F23" s="39"/>
      <c r="G23" s="100" t="n">
        <f aca="false">'Main calculation'!C35</f>
        <v>2022</v>
      </c>
      <c r="H23" s="159" t="n">
        <v>7240</v>
      </c>
      <c r="I23" s="57" t="n">
        <f aca="false">'Main calculation'!$B$21</f>
        <v>300</v>
      </c>
      <c r="J23" s="205" t="n">
        <f aca="false">$E$10*H23*I23</f>
        <v>1078789.36820505</v>
      </c>
    </row>
    <row r="24" customFormat="false" ht="14.05" hidden="false" customHeight="false" outlineLevel="0" collapsed="false">
      <c r="A24" s="56" t="str">
        <f aca="false">IF('Main calculation'!$B$19=2023, "Starting year --&gt;","" )</f>
        <v/>
      </c>
      <c r="B24" s="57" t="n">
        <f aca="false">'Main calculation'!C36</f>
        <v>2023</v>
      </c>
      <c r="C24" s="204" t="n">
        <v>5840</v>
      </c>
      <c r="D24" s="57" t="n">
        <f aca="false">'Main calculation'!B21</f>
        <v>300</v>
      </c>
      <c r="E24" s="205" t="n">
        <f aca="false">$E$10*C24*D24</f>
        <v>870183.68927037</v>
      </c>
      <c r="F24" s="39"/>
      <c r="G24" s="100" t="n">
        <f aca="false">'Main calculation'!C36</f>
        <v>2023</v>
      </c>
      <c r="H24" s="159" t="n">
        <v>7240</v>
      </c>
      <c r="I24" s="57" t="n">
        <f aca="false">'Main calculation'!$B$21</f>
        <v>300</v>
      </c>
      <c r="J24" s="205" t="n">
        <f aca="false">$E$10*H24*I24</f>
        <v>1078789.36820505</v>
      </c>
    </row>
    <row r="25" customFormat="false" ht="14.05" hidden="false" customHeight="false" outlineLevel="0" collapsed="false">
      <c r="A25" s="56" t="str">
        <f aca="false">IF('Main calculation'!$B$19=2024, "Starting year --&gt;","" )</f>
        <v/>
      </c>
      <c r="B25" s="57" t="n">
        <f aca="false">'Main calculation'!C37</f>
        <v>2024</v>
      </c>
      <c r="C25" s="204" t="n">
        <v>5840</v>
      </c>
      <c r="D25" s="57" t="n">
        <f aca="false">'Main calculation'!B21</f>
        <v>300</v>
      </c>
      <c r="E25" s="205" t="n">
        <f aca="false">$E$10*C25*D25</f>
        <v>870183.68927037</v>
      </c>
      <c r="F25" s="39"/>
      <c r="G25" s="100" t="n">
        <f aca="false">'Main calculation'!C37</f>
        <v>2024</v>
      </c>
      <c r="H25" s="159" t="n">
        <v>7240</v>
      </c>
      <c r="I25" s="57" t="n">
        <f aca="false">'Main calculation'!$B$21</f>
        <v>300</v>
      </c>
      <c r="J25" s="205" t="n">
        <f aca="false">$E$10*H25*I25</f>
        <v>1078789.36820505</v>
      </c>
    </row>
    <row r="26" customFormat="false" ht="14.05" hidden="false" customHeight="false" outlineLevel="0" collapsed="false">
      <c r="A26" s="56" t="str">
        <f aca="false">IF('Main calculation'!$B$19=2025, "Starting year --&gt;","" )</f>
        <v/>
      </c>
      <c r="B26" s="57" t="n">
        <f aca="false">'Main calculation'!C38</f>
        <v>2025</v>
      </c>
      <c r="C26" s="204" t="n">
        <v>5840</v>
      </c>
      <c r="D26" s="57" t="n">
        <f aca="false">'Main calculation'!B21</f>
        <v>300</v>
      </c>
      <c r="E26" s="205" t="n">
        <f aca="false">$E$10*C26*D26</f>
        <v>870183.68927037</v>
      </c>
      <c r="F26" s="39"/>
      <c r="G26" s="100" t="n">
        <f aca="false">'Main calculation'!C38</f>
        <v>2025</v>
      </c>
      <c r="H26" s="159" t="n">
        <v>7240</v>
      </c>
      <c r="I26" s="57" t="n">
        <f aca="false">'Main calculation'!$B$21</f>
        <v>300</v>
      </c>
      <c r="J26" s="205" t="n">
        <f aca="false">$E$10*H26*I26</f>
        <v>1078789.36820505</v>
      </c>
    </row>
    <row r="27" customFormat="false" ht="14.05" hidden="false" customHeight="false" outlineLevel="0" collapsed="false">
      <c r="A27" s="56" t="str">
        <f aca="false">IF('Main calculation'!$B$19=2026, "Starting year --&gt;","" )</f>
        <v/>
      </c>
      <c r="B27" s="57" t="n">
        <f aca="false">'Main calculation'!C39</f>
        <v>2026</v>
      </c>
      <c r="C27" s="204" t="n">
        <v>5840</v>
      </c>
      <c r="D27" s="57" t="n">
        <f aca="false">'Main calculation'!B21</f>
        <v>300</v>
      </c>
      <c r="E27" s="205" t="n">
        <f aca="false">$E$10*C27*D27</f>
        <v>870183.68927037</v>
      </c>
      <c r="F27" s="39"/>
      <c r="G27" s="100" t="n">
        <f aca="false">'Main calculation'!C39</f>
        <v>2026</v>
      </c>
      <c r="H27" s="159" t="n">
        <v>7240</v>
      </c>
      <c r="I27" s="57" t="n">
        <f aca="false">'Main calculation'!$B$21</f>
        <v>300</v>
      </c>
      <c r="J27" s="205" t="n">
        <f aca="false">$E$10*H27*I27</f>
        <v>1078789.36820505</v>
      </c>
    </row>
    <row r="28" customFormat="false" ht="14.05" hidden="false" customHeight="false" outlineLevel="0" collapsed="false">
      <c r="A28" s="56" t="str">
        <f aca="false">IF('Main calculation'!$B$19=2027, "Starting year --&gt;","" )</f>
        <v/>
      </c>
      <c r="B28" s="57" t="n">
        <f aca="false">'Main calculation'!C40</f>
        <v>2027</v>
      </c>
      <c r="C28" s="204" t="n">
        <v>5840</v>
      </c>
      <c r="D28" s="57" t="n">
        <f aca="false">'Main calculation'!B21</f>
        <v>300</v>
      </c>
      <c r="E28" s="205" t="n">
        <f aca="false">$E$10*C28*D28</f>
        <v>870183.68927037</v>
      </c>
      <c r="F28" s="39"/>
      <c r="G28" s="100" t="n">
        <f aca="false">'Main calculation'!C40</f>
        <v>2027</v>
      </c>
      <c r="H28" s="159" t="n">
        <v>7240</v>
      </c>
      <c r="I28" s="57" t="n">
        <f aca="false">'Main calculation'!$B$21</f>
        <v>300</v>
      </c>
      <c r="J28" s="205" t="n">
        <f aca="false">$E$10*H28*I28</f>
        <v>1078789.36820505</v>
      </c>
    </row>
    <row r="29" customFormat="false" ht="14.05" hidden="false" customHeight="false" outlineLevel="0" collapsed="false">
      <c r="A29" s="56" t="str">
        <f aca="false">IF('Main calculation'!$B$20=2028, "Finishing year --&gt;","" )</f>
        <v>Finishing year --&gt;</v>
      </c>
      <c r="B29" s="57" t="n">
        <f aca="false">'Main calculation'!C41</f>
        <v>2028</v>
      </c>
      <c r="C29" s="204" t="n">
        <v>5840</v>
      </c>
      <c r="D29" s="57" t="n">
        <f aca="false">'Main calculation'!B21</f>
        <v>300</v>
      </c>
      <c r="E29" s="205" t="n">
        <f aca="false">$E$10*C29*D29</f>
        <v>870183.68927037</v>
      </c>
      <c r="F29" s="39"/>
      <c r="G29" s="100" t="n">
        <f aca="false">'Main calculation'!C41</f>
        <v>2028</v>
      </c>
      <c r="H29" s="159" t="n">
        <v>7240</v>
      </c>
      <c r="I29" s="57" t="n">
        <f aca="false">'Main calculation'!$B$21</f>
        <v>300</v>
      </c>
      <c r="J29" s="205" t="n">
        <f aca="false">$E$10*H29*I29</f>
        <v>1078789.36820505</v>
      </c>
    </row>
    <row r="30" customFormat="false" ht="14.05" hidden="false" customHeight="false" outlineLevel="0" collapsed="false">
      <c r="A30" s="56" t="str">
        <f aca="false">IF('Main calculation'!$B$20=2029, "Finishing year --&gt;","" )</f>
        <v/>
      </c>
      <c r="B30" s="57" t="n">
        <f aca="false">'Main calculation'!C42</f>
        <v>2029</v>
      </c>
      <c r="C30" s="204"/>
      <c r="D30" s="57" t="n">
        <f aca="false">'Main calculation'!B21</f>
        <v>300</v>
      </c>
      <c r="E30" s="190" t="n">
        <f aca="false">$E$10*C30*D30</f>
        <v>0</v>
      </c>
      <c r="F30" s="39"/>
      <c r="G30" s="100" t="n">
        <f aca="false">'Main calculation'!C42</f>
        <v>2029</v>
      </c>
      <c r="H30" s="159"/>
      <c r="I30" s="57" t="n">
        <f aca="false">'Main calculation'!$B$21</f>
        <v>300</v>
      </c>
      <c r="J30" s="190" t="n">
        <f aca="false">$E$10*H30*I30</f>
        <v>0</v>
      </c>
    </row>
    <row r="31" customFormat="false" ht="14.05" hidden="false" customHeight="false" outlineLevel="0" collapsed="false">
      <c r="A31" s="56" t="str">
        <f aca="false">IF('Main calculation'!$B$20=2030, "Finishing year --&gt;","" )</f>
        <v/>
      </c>
      <c r="B31" s="57" t="n">
        <f aca="false">'Main calculation'!C43</f>
        <v>2030</v>
      </c>
      <c r="C31" s="204"/>
      <c r="D31" s="57" t="n">
        <f aca="false">'Main calculation'!B21</f>
        <v>300</v>
      </c>
      <c r="E31" s="190" t="n">
        <f aca="false">$E$10*C31*D31</f>
        <v>0</v>
      </c>
      <c r="F31" s="39"/>
      <c r="G31" s="100" t="n">
        <f aca="false">'Main calculation'!C43</f>
        <v>2030</v>
      </c>
      <c r="H31" s="159"/>
      <c r="I31" s="57" t="n">
        <f aca="false">'Main calculation'!$B$21</f>
        <v>300</v>
      </c>
      <c r="J31" s="190" t="n">
        <f aca="false">$E$10*H31*I31</f>
        <v>0</v>
      </c>
    </row>
    <row r="32" customFormat="false" ht="14.05" hidden="false" customHeight="false" outlineLevel="0" collapsed="false">
      <c r="A32" s="56" t="str">
        <f aca="false">IF('Main calculation'!$B$20=2031, "Finishing year --&gt;","" )</f>
        <v/>
      </c>
      <c r="B32" s="199"/>
    </row>
    <row r="33" customFormat="false" ht="14.05" hidden="false" customHeight="false" outlineLevel="0" collapsed="false">
      <c r="A33" s="56" t="str">
        <f aca="false">IF('Main calculation'!$B$20=2032, "Finishing year --&gt;","" )</f>
        <v/>
      </c>
      <c r="B33" s="199"/>
    </row>
    <row r="34" customFormat="false" ht="14.05" hidden="false" customHeight="false" outlineLevel="0" collapsed="false">
      <c r="A34" s="56" t="str">
        <f aca="false">IF('Main calculation'!$B$20=2033, "Finishing year --&gt;","" )</f>
        <v/>
      </c>
      <c r="B34" s="199"/>
    </row>
  </sheetData>
  <mergeCells count="2">
    <mergeCell ref="A3:E3"/>
    <mergeCell ref="A10:D10"/>
  </mergeCell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sheetPr filterMode="false">
    <pageSetUpPr fitToPage="false"/>
  </sheetPr>
  <dimension ref="A1:U65"/>
  <sheetViews>
    <sheetView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4.05" zeroHeight="false" outlineLevelRow="0" outlineLevelCol="0"/>
  <cols>
    <col collapsed="false" customWidth="true" hidden="false" outlineLevel="0" max="1" min="1" style="1" width="37.18"/>
    <col collapsed="false" customWidth="true" hidden="false" outlineLevel="0" max="9" min="2" style="1" width="15.75"/>
    <col collapsed="false" customWidth="true" hidden="false" outlineLevel="0" max="10" min="10" style="1" width="5.58"/>
    <col collapsed="false" customWidth="true" hidden="false" outlineLevel="0" max="18" min="11" style="1" width="15.75"/>
    <col collapsed="false" customWidth="true" hidden="false" outlineLevel="0" max="19" min="19" style="1" width="10.16"/>
    <col collapsed="false" customWidth="true" hidden="false" outlineLevel="0" max="20" min="20" style="1" width="9.6"/>
    <col collapsed="false" customWidth="true" hidden="false" outlineLevel="0" max="1025" min="21" style="1" width="8.71"/>
  </cols>
  <sheetData>
    <row r="1" customFormat="false" ht="17.65" hidden="false" customHeight="false" outlineLevel="0" collapsed="false">
      <c r="A1" s="82" t="s">
        <v>120</v>
      </c>
    </row>
    <row r="2" customFormat="false" ht="14.05" hidden="false" customHeight="false" outlineLevel="0" collapsed="false">
      <c r="A2" s="22" t="s">
        <v>97</v>
      </c>
    </row>
    <row r="3" customFormat="false" ht="45" hidden="false" customHeight="true" outlineLevel="0" collapsed="false">
      <c r="A3" s="3" t="s">
        <v>121</v>
      </c>
      <c r="B3" s="3"/>
      <c r="C3" s="3"/>
      <c r="D3" s="3"/>
      <c r="E3" s="3"/>
      <c r="F3" s="3"/>
      <c r="G3" s="3"/>
      <c r="H3" s="3"/>
      <c r="I3" s="3"/>
    </row>
    <row r="4" customFormat="false" ht="14.05" hidden="false" customHeight="false" outlineLevel="0" collapsed="false">
      <c r="A4" s="83"/>
    </row>
    <row r="5" customFormat="false" ht="14.05" hidden="false" customHeight="false" outlineLevel="0" collapsed="false">
      <c r="A5" s="22" t="s">
        <v>122</v>
      </c>
    </row>
    <row r="6" customFormat="false" ht="30" hidden="false" customHeight="true" outlineLevel="0" collapsed="false">
      <c r="A6" s="3" t="s">
        <v>123</v>
      </c>
      <c r="B6" s="3"/>
      <c r="C6" s="3"/>
      <c r="D6" s="3"/>
      <c r="E6" s="3"/>
      <c r="F6" s="3"/>
      <c r="G6" s="3"/>
      <c r="H6" s="3"/>
      <c r="I6" s="3"/>
    </row>
    <row r="7" customFormat="false" ht="14.05" hidden="false" customHeight="false" outlineLevel="0" collapsed="false">
      <c r="A7" s="83"/>
    </row>
    <row r="8" customFormat="false" ht="14.05" hidden="false" customHeight="false" outlineLevel="0" collapsed="false">
      <c r="A8" s="22" t="s">
        <v>54</v>
      </c>
    </row>
    <row r="9" customFormat="false" ht="29.25" hidden="false" customHeight="true" outlineLevel="0" collapsed="false">
      <c r="A9" s="3" t="s">
        <v>124</v>
      </c>
      <c r="B9" s="3"/>
      <c r="C9" s="3"/>
      <c r="D9" s="3"/>
      <c r="E9" s="3"/>
      <c r="F9" s="46"/>
      <c r="G9" s="46"/>
      <c r="H9" s="46"/>
      <c r="I9" s="132"/>
      <c r="J9" s="206"/>
      <c r="K9" s="206"/>
      <c r="L9" s="207"/>
      <c r="M9" s="132"/>
      <c r="N9" s="132"/>
    </row>
    <row r="10" customFormat="false" ht="14.4" hidden="false" customHeight="true" outlineLevel="0" collapsed="false">
      <c r="A10" s="3" t="s">
        <v>125</v>
      </c>
      <c r="B10" s="3"/>
      <c r="C10" s="3"/>
      <c r="D10" s="3"/>
      <c r="E10" s="3"/>
      <c r="F10" s="21"/>
      <c r="G10" s="21"/>
      <c r="H10" s="21"/>
      <c r="I10" s="132"/>
      <c r="J10" s="208"/>
      <c r="K10" s="208"/>
      <c r="L10" s="207"/>
      <c r="M10" s="132"/>
      <c r="N10" s="132"/>
    </row>
    <row r="11" customFormat="false" ht="14.4" hidden="false" customHeight="true" outlineLevel="0" collapsed="false">
      <c r="A11" s="3" t="s">
        <v>126</v>
      </c>
      <c r="B11" s="3"/>
      <c r="C11" s="3"/>
      <c r="D11" s="3"/>
      <c r="E11" s="3"/>
      <c r="F11" s="21"/>
      <c r="G11" s="21"/>
      <c r="H11" s="21"/>
      <c r="I11" s="132"/>
      <c r="J11" s="208"/>
      <c r="K11" s="208"/>
      <c r="L11" s="207"/>
      <c r="M11" s="132"/>
      <c r="N11" s="132"/>
    </row>
    <row r="12" customFormat="false" ht="14.4" hidden="false" customHeight="true" outlineLevel="0" collapsed="false">
      <c r="A12" s="3" t="s">
        <v>67</v>
      </c>
      <c r="B12" s="3"/>
      <c r="C12" s="3"/>
      <c r="D12" s="3"/>
      <c r="E12" s="3"/>
      <c r="F12" s="21"/>
      <c r="G12" s="21"/>
      <c r="H12" s="21"/>
      <c r="I12" s="132"/>
      <c r="J12" s="208"/>
      <c r="K12" s="208"/>
      <c r="L12" s="207"/>
      <c r="M12" s="132"/>
      <c r="N12" s="132"/>
    </row>
    <row r="14" customFormat="false" ht="14.05" hidden="false" customHeight="false" outlineLevel="0" collapsed="false">
      <c r="A14" s="30" t="s">
        <v>127</v>
      </c>
      <c r="B14" s="114" t="n">
        <v>199999</v>
      </c>
    </row>
    <row r="15" customFormat="false" ht="14.05" hidden="false" customHeight="false" outlineLevel="0" collapsed="false">
      <c r="A15" s="209"/>
      <c r="H15" s="191"/>
      <c r="I15" s="191"/>
      <c r="J15" s="191"/>
      <c r="K15" s="191"/>
      <c r="L15" s="210"/>
      <c r="M15" s="211"/>
      <c r="N15" s="191"/>
      <c r="O15" s="191"/>
      <c r="P15" s="191"/>
      <c r="Q15" s="191"/>
      <c r="R15" s="191"/>
      <c r="S15" s="212"/>
      <c r="T15" s="213"/>
    </row>
    <row r="16" customFormat="false" ht="14.05" hidden="false" customHeight="false" outlineLevel="0" collapsed="false">
      <c r="A16" s="214"/>
      <c r="B16" s="215" t="str">
        <f aca="false">HLOOKUP('Main calculation'!$B$17,'Monetary Values'!$D$4:$G$68,47,0)</f>
        <v>EURg/kg</v>
      </c>
      <c r="C16" s="216"/>
      <c r="D16" s="216"/>
      <c r="E16" s="216"/>
      <c r="F16" s="217"/>
      <c r="H16" s="191"/>
      <c r="I16" s="191"/>
      <c r="J16" s="191"/>
      <c r="K16" s="191"/>
      <c r="L16" s="191"/>
      <c r="M16" s="191"/>
      <c r="N16" s="191"/>
      <c r="O16" s="191"/>
      <c r="P16" s="191"/>
      <c r="Q16" s="191"/>
      <c r="R16" s="191"/>
      <c r="S16" s="212"/>
      <c r="T16" s="213"/>
    </row>
    <row r="17" customFormat="false" ht="14.05" hidden="false" customHeight="false" outlineLevel="0" collapsed="false">
      <c r="A17" s="218" t="s">
        <v>128</v>
      </c>
      <c r="B17" s="219" t="s">
        <v>129</v>
      </c>
      <c r="C17" s="30" t="s">
        <v>130</v>
      </c>
      <c r="D17" s="30" t="s">
        <v>131</v>
      </c>
      <c r="E17" s="30" t="s">
        <v>132</v>
      </c>
      <c r="F17" s="30" t="s">
        <v>133</v>
      </c>
      <c r="H17" s="220"/>
      <c r="I17" s="221"/>
      <c r="J17" s="220"/>
      <c r="K17" s="220"/>
      <c r="L17" s="220"/>
      <c r="M17" s="220"/>
      <c r="N17" s="220"/>
      <c r="O17" s="220"/>
      <c r="P17" s="221"/>
      <c r="Q17" s="220"/>
      <c r="R17" s="220"/>
      <c r="S17" s="222"/>
      <c r="T17" s="223"/>
    </row>
    <row r="18" customFormat="false" ht="14.05" hidden="false" customHeight="false" outlineLevel="0" collapsed="false">
      <c r="A18" s="224" t="s">
        <v>134</v>
      </c>
      <c r="B18" s="225" t="n">
        <f aca="false">HLOOKUP('Main calculation'!$B$17,'Monetary Values'!$D$4:$G$68,48,0)</f>
        <v>1335.40511197162</v>
      </c>
      <c r="C18" s="225" t="n">
        <f aca="false">HLOOKUP('Main calculation'!$B$17,'Monetary Values'!$D$4:$G$68,57,0)</f>
        <v>24.4824270528131</v>
      </c>
      <c r="D18" s="225" t="n">
        <f aca="false">HLOOKUP('Main calculation'!$B$17,'Monetary Values'!$D$4:$G$68,52,0)</f>
        <v>7.7898631531678</v>
      </c>
      <c r="E18" s="226" t="n">
        <f aca="false">HLOOKUP('Main calculation'!$B$17,'Monetary Values'!$D$4:$G$68,60,0)</f>
        <v>4.45135037323874</v>
      </c>
      <c r="F18" s="227"/>
      <c r="H18" s="220"/>
      <c r="I18" s="220"/>
      <c r="J18" s="220"/>
      <c r="K18" s="220"/>
      <c r="L18" s="228"/>
      <c r="M18" s="220"/>
      <c r="N18" s="220"/>
      <c r="O18" s="220"/>
      <c r="P18" s="220"/>
      <c r="Q18" s="220"/>
      <c r="R18" s="220"/>
      <c r="S18" s="229"/>
      <c r="T18" s="223"/>
    </row>
    <row r="19" customFormat="false" ht="14.05" hidden="false" customHeight="false" outlineLevel="0" collapsed="false">
      <c r="A19" s="224" t="s">
        <v>135</v>
      </c>
      <c r="B19" s="226" t="n">
        <f aca="false">HLOOKUP('Main calculation'!$B$17,'Monetary Values'!$D$4:$G$68,49,0)</f>
        <v>856.884946848458</v>
      </c>
      <c r="C19" s="226" t="n">
        <f aca="false">HLOOKUP('Main calculation'!$B$17,'Monetary Values'!$D$4:$G$68,58,0)</f>
        <v>17.805401492955</v>
      </c>
      <c r="D19" s="226" t="n">
        <f aca="false">HLOOKUP('Main calculation'!$B$17,'Monetary Values'!$D$4:$G$68,53,0)</f>
        <v>5.00776916989358</v>
      </c>
      <c r="E19" s="226" t="n">
        <f aca="false">HLOOKUP('Main calculation'!$B$17,'Monetary Values'!$D$4:$G$68,61,0)</f>
        <v>3.33851277992906</v>
      </c>
      <c r="F19" s="230"/>
      <c r="H19" s="220"/>
      <c r="I19" s="220"/>
      <c r="J19" s="220"/>
      <c r="K19" s="220"/>
      <c r="L19" s="228"/>
      <c r="M19" s="220"/>
      <c r="N19" s="220"/>
      <c r="O19" s="220"/>
      <c r="P19" s="220"/>
      <c r="Q19" s="220"/>
      <c r="R19" s="220"/>
      <c r="S19" s="229"/>
      <c r="T19" s="223"/>
    </row>
    <row r="20" customFormat="false" ht="14.05" hidden="false" customHeight="false" outlineLevel="0" collapsed="false">
      <c r="A20" s="224" t="s">
        <v>136</v>
      </c>
      <c r="B20" s="231" t="n">
        <f aca="false">(B18+B19)/2</f>
        <v>1096.14502941004</v>
      </c>
      <c r="C20" s="226" t="n">
        <f aca="false">(C18+C19)/2</f>
        <v>21.143914272884</v>
      </c>
      <c r="D20" s="226" t="n">
        <f aca="false">(D18+D19)/2</f>
        <v>6.39881616153069</v>
      </c>
      <c r="E20" s="226" t="n">
        <f aca="false">(E18+E19)/2</f>
        <v>3.8949315765839</v>
      </c>
      <c r="F20" s="230"/>
      <c r="H20" s="220"/>
      <c r="I20" s="220"/>
      <c r="J20" s="220"/>
      <c r="K20" s="220"/>
      <c r="L20" s="228"/>
      <c r="M20" s="220"/>
      <c r="N20" s="220"/>
      <c r="O20" s="220"/>
      <c r="P20" s="220"/>
      <c r="Q20" s="220"/>
      <c r="R20" s="220"/>
      <c r="S20" s="229"/>
      <c r="T20" s="223"/>
    </row>
    <row r="21" customFormat="false" ht="14.05" hidden="false" customHeight="false" outlineLevel="0" collapsed="false">
      <c r="A21" s="224" t="s">
        <v>137</v>
      </c>
      <c r="B21" s="231" t="n">
        <f aca="false">HLOOKUP('Main calculation'!$B$17,'Monetary Values'!$D$4:$G$68,50,0)</f>
        <v>612.060676320327</v>
      </c>
      <c r="C21" s="226" t="n">
        <f aca="false">HLOOKUP('Main calculation'!$B$17,'Monetary Values'!$D$4:$G$68,59,0)</f>
        <v>11.1283759330969</v>
      </c>
      <c r="D21" s="226" t="n">
        <f aca="false">HLOOKUP('Main calculation'!$B$17,'Monetary Values'!$D$4:$G$68,54,0)</f>
        <v>3.33851277992906</v>
      </c>
      <c r="E21" s="226" t="n">
        <f aca="false">HLOOKUP('Main calculation'!$B$17,'Monetary Values'!$D$4:$G$68,62,0)</f>
        <v>2.22567518661937</v>
      </c>
      <c r="F21" s="230"/>
      <c r="G21" s="232"/>
      <c r="H21" s="220"/>
      <c r="I21" s="220"/>
      <c r="J21" s="220"/>
      <c r="K21" s="220"/>
      <c r="L21" s="228"/>
      <c r="M21" s="220"/>
      <c r="N21" s="220"/>
      <c r="O21" s="220"/>
      <c r="P21" s="220"/>
      <c r="Q21" s="220"/>
      <c r="R21" s="220"/>
      <c r="S21" s="229"/>
      <c r="T21" s="223"/>
    </row>
    <row r="22" customFormat="false" ht="14.05" hidden="false" customHeight="false" outlineLevel="0" collapsed="false">
      <c r="A22" s="224" t="s">
        <v>138</v>
      </c>
      <c r="B22" s="233" t="n">
        <f aca="false">HLOOKUP('Main calculation'!$B$17,'Monetary Values'!$D$4:$G$68,51,0)</f>
        <v>389.49315765839</v>
      </c>
      <c r="C22" s="234" t="n">
        <f aca="false">HLOOKUP('Main calculation'!$B$17,'Monetary Values'!$D$4:$G$68,60,0)</f>
        <v>4.45135037323874</v>
      </c>
      <c r="D22" s="234" t="n">
        <f aca="false">HLOOKUP('Main calculation'!$B$17,'Monetary Values'!$D$4:$G$68,55,0)</f>
        <v>2.22567518661937</v>
      </c>
      <c r="E22" s="234" t="n">
        <f aca="false">HLOOKUP('Main calculation'!$B$17,'Monetary Values'!$D$4:$G$68,63,0)</f>
        <v>1.66925638996453</v>
      </c>
      <c r="F22" s="235"/>
      <c r="G22" s="232"/>
      <c r="H22" s="220"/>
      <c r="I22" s="220"/>
      <c r="J22" s="220"/>
      <c r="K22" s="220"/>
      <c r="L22" s="228"/>
      <c r="M22" s="220"/>
      <c r="N22" s="220"/>
      <c r="O22" s="220"/>
      <c r="P22" s="220"/>
      <c r="Q22" s="220"/>
      <c r="R22" s="220"/>
      <c r="S22" s="229"/>
      <c r="T22" s="223"/>
    </row>
    <row r="23" customFormat="false" ht="14.05" hidden="false" customHeight="false" outlineLevel="0" collapsed="false">
      <c r="A23" s="236" t="s">
        <v>139</v>
      </c>
      <c r="B23" s="237" t="n">
        <f aca="false">IF($B$14&lt;50000,B22,IF($B$14&lt;200000,B21,IF($B$14&gt;199999,B20)))</f>
        <v>612.060676320327</v>
      </c>
      <c r="C23" s="238" t="n">
        <f aca="false">IF($B$14&lt;50000,C22,IF($B$14&lt;200000,C21,IF($B$14&gt;199999,C20)))</f>
        <v>11.1283759330969</v>
      </c>
      <c r="D23" s="238" t="n">
        <f aca="false">IF($B$14&lt;50000,D22,IF($B$14&lt;200000,D21,IF($B$14&gt;199999,D20)))</f>
        <v>3.33851277992906</v>
      </c>
      <c r="E23" s="238" t="n">
        <f aca="false">IF($B$14&lt;50000,E22,IF($B$14&lt;200000,E21,IF($B$14&gt;199999,E20)))</f>
        <v>2.22567518661937</v>
      </c>
      <c r="F23" s="239" t="n">
        <f aca="false">HLOOKUP('Main calculation'!$B$17,'Monetary Values'!$D$4:$G$68,65,0)</f>
        <v>0.161361451029904</v>
      </c>
      <c r="H23" s="191"/>
      <c r="I23" s="191"/>
      <c r="J23" s="191"/>
      <c r="K23" s="191"/>
      <c r="L23" s="191"/>
      <c r="M23" s="191"/>
      <c r="N23" s="191"/>
      <c r="O23" s="191"/>
      <c r="P23" s="191"/>
      <c r="Q23" s="191"/>
      <c r="R23" s="191"/>
      <c r="S23" s="212"/>
      <c r="T23" s="213"/>
    </row>
    <row r="24" customFormat="false" ht="14.05" hidden="false" customHeight="false" outlineLevel="0" collapsed="false">
      <c r="A24" s="224" t="s">
        <v>140</v>
      </c>
      <c r="B24" s="240"/>
      <c r="C24" s="241"/>
      <c r="D24" s="241"/>
      <c r="E24" s="241"/>
      <c r="F24" s="26"/>
      <c r="H24" s="191"/>
      <c r="I24" s="191"/>
      <c r="J24" s="191"/>
      <c r="K24" s="191"/>
      <c r="L24" s="191"/>
      <c r="M24" s="191"/>
      <c r="N24" s="191"/>
      <c r="O24" s="191"/>
      <c r="P24" s="191"/>
      <c r="Q24" s="191"/>
      <c r="R24" s="191"/>
      <c r="S24" s="212"/>
      <c r="T24" s="213"/>
    </row>
    <row r="25" customFormat="false" ht="14.05" hidden="false" customHeight="false" outlineLevel="0" collapsed="false">
      <c r="A25" s="224" t="s">
        <v>141</v>
      </c>
      <c r="B25" s="240"/>
      <c r="C25" s="241"/>
      <c r="D25" s="241"/>
      <c r="E25" s="241"/>
      <c r="F25" s="26"/>
      <c r="H25" s="191"/>
      <c r="I25" s="191"/>
      <c r="J25" s="191"/>
      <c r="K25" s="191"/>
      <c r="L25" s="191"/>
      <c r="M25" s="191"/>
      <c r="N25" s="191"/>
      <c r="O25" s="191"/>
      <c r="P25" s="191"/>
      <c r="Q25" s="191"/>
      <c r="R25" s="191"/>
      <c r="S25" s="212"/>
      <c r="T25" s="213"/>
    </row>
    <row r="26" customFormat="false" ht="14.05" hidden="false" customHeight="false" outlineLevel="0" collapsed="false">
      <c r="A26" s="242"/>
      <c r="H26" s="243"/>
      <c r="I26" s="243"/>
      <c r="J26" s="243"/>
      <c r="K26" s="243"/>
      <c r="L26" s="243"/>
      <c r="M26" s="243"/>
      <c r="N26" s="243"/>
      <c r="O26" s="243"/>
      <c r="P26" s="243"/>
      <c r="Q26" s="243"/>
      <c r="R26" s="244"/>
      <c r="S26" s="213"/>
      <c r="T26" s="213"/>
    </row>
    <row r="27" customFormat="false" ht="17.65" hidden="false" customHeight="false" outlineLevel="0" collapsed="false">
      <c r="B27" s="37" t="s">
        <v>27</v>
      </c>
      <c r="C27" s="203"/>
      <c r="D27" s="203"/>
      <c r="E27" s="203"/>
      <c r="F27" s="203"/>
      <c r="G27" s="203"/>
      <c r="H27" s="203"/>
      <c r="I27" s="203"/>
      <c r="J27" s="39"/>
      <c r="K27" s="40" t="s">
        <v>28</v>
      </c>
      <c r="L27" s="41"/>
      <c r="M27" s="41"/>
      <c r="N27" s="41"/>
      <c r="O27" s="41"/>
      <c r="P27" s="41"/>
      <c r="Q27" s="41"/>
      <c r="R27" s="41"/>
    </row>
    <row r="28" customFormat="false" ht="68.65" hidden="false" customHeight="false" outlineLevel="0" collapsed="false">
      <c r="B28" s="100" t="s">
        <v>30</v>
      </c>
      <c r="C28" s="3" t="s">
        <v>142</v>
      </c>
      <c r="D28" s="3" t="s">
        <v>143</v>
      </c>
      <c r="E28" s="3" t="s">
        <v>144</v>
      </c>
      <c r="F28" s="3" t="s">
        <v>145</v>
      </c>
      <c r="G28" s="3" t="s">
        <v>146</v>
      </c>
      <c r="H28" s="3" t="s">
        <v>147</v>
      </c>
      <c r="I28" s="3" t="s">
        <v>148</v>
      </c>
      <c r="J28" s="51"/>
      <c r="K28" s="100" t="s">
        <v>30</v>
      </c>
      <c r="L28" s="3" t="s">
        <v>149</v>
      </c>
      <c r="M28" s="3" t="s">
        <v>143</v>
      </c>
      <c r="N28" s="3" t="s">
        <v>144</v>
      </c>
      <c r="O28" s="3" t="s">
        <v>145</v>
      </c>
      <c r="P28" s="3" t="s">
        <v>146</v>
      </c>
      <c r="Q28" s="3" t="s">
        <v>147</v>
      </c>
      <c r="R28" s="3" t="s">
        <v>148</v>
      </c>
      <c r="S28" s="132"/>
      <c r="T28" s="132"/>
      <c r="U28" s="132"/>
    </row>
    <row r="29" customFormat="false" ht="14.05" hidden="false" customHeight="false" outlineLevel="0" collapsed="false">
      <c r="A29" s="56" t="str">
        <f aca="false">IF('Main calculation'!$B$19=2013, "Starting year --&gt;","" )</f>
        <v/>
      </c>
      <c r="B29" s="100" t="n">
        <f aca="false">'Main calculation'!C26</f>
        <v>2013</v>
      </c>
      <c r="C29" s="159"/>
      <c r="D29" s="57" t="n">
        <f aca="false">$C29*B$25*B$23*1000</f>
        <v>0</v>
      </c>
      <c r="E29" s="57" t="n">
        <f aca="false">$C29*C$25*C$23*1000</f>
        <v>0</v>
      </c>
      <c r="F29" s="57" t="n">
        <f aca="false">$C29*D$25*D$23*1000</f>
        <v>0</v>
      </c>
      <c r="G29" s="57" t="n">
        <f aca="false">$C29*E$25*E$23*1000</f>
        <v>0</v>
      </c>
      <c r="H29" s="57" t="n">
        <f aca="false">$C29*F$25*F$23*1000</f>
        <v>0</v>
      </c>
      <c r="I29" s="205" t="n">
        <f aca="false">SUM(D29:H29)</f>
        <v>0</v>
      </c>
      <c r="J29" s="39"/>
      <c r="K29" s="100" t="n">
        <f aca="false">'Main calculation'!C26</f>
        <v>2013</v>
      </c>
      <c r="L29" s="159"/>
      <c r="M29" s="57" t="n">
        <f aca="false">$C29*B$24*B$23*1000</f>
        <v>0</v>
      </c>
      <c r="N29" s="57" t="n">
        <f aca="false">$C29*C$24*C$23*1000</f>
        <v>0</v>
      </c>
      <c r="O29" s="57" t="n">
        <f aca="false">$C29*D$24*D$23*1000</f>
        <v>0</v>
      </c>
      <c r="P29" s="57" t="n">
        <f aca="false">$C29*E$24*E$23*1000</f>
        <v>0</v>
      </c>
      <c r="Q29" s="57" t="n">
        <f aca="false">$C29*F$24*F$23*1000</f>
        <v>0</v>
      </c>
      <c r="R29" s="205" t="n">
        <f aca="false">L29*(B$23*M29/1000+C$23*N29+D$23*O29+E$23*P29+F$23*Q29)</f>
        <v>0</v>
      </c>
      <c r="S29" s="132"/>
      <c r="T29" s="132"/>
      <c r="U29" s="132"/>
    </row>
    <row r="30" customFormat="false" ht="14.05" hidden="false" customHeight="false" outlineLevel="0" collapsed="false">
      <c r="A30" s="56" t="str">
        <f aca="false">IF('Main calculation'!$B$19=2014, "Starting year --&gt;","" )</f>
        <v>Starting year --&gt;</v>
      </c>
      <c r="B30" s="100" t="n">
        <f aca="false">'Main calculation'!C27</f>
        <v>2014</v>
      </c>
      <c r="C30" s="159"/>
      <c r="D30" s="57" t="n">
        <f aca="false">$C30*B$25*B$23*1000</f>
        <v>0</v>
      </c>
      <c r="E30" s="57" t="n">
        <f aca="false">$C30*C$25*C$23*1000</f>
        <v>0</v>
      </c>
      <c r="F30" s="57" t="n">
        <f aca="false">$C30*D$25*D$23*1000</f>
        <v>0</v>
      </c>
      <c r="G30" s="57" t="n">
        <f aca="false">$C30*E$25*E$23*1000</f>
        <v>0</v>
      </c>
      <c r="H30" s="57" t="n">
        <f aca="false">$C30*F$25*F$23*1000</f>
        <v>0</v>
      </c>
      <c r="I30" s="205" t="n">
        <f aca="false">SUM(D30:H30)</f>
        <v>0</v>
      </c>
      <c r="J30" s="39"/>
      <c r="K30" s="100" t="n">
        <f aca="false">'Main calculation'!C27</f>
        <v>2014</v>
      </c>
      <c r="L30" s="159"/>
      <c r="M30" s="57" t="n">
        <f aca="false">$C30*B$24*B$23*1000</f>
        <v>0</v>
      </c>
      <c r="N30" s="57" t="n">
        <f aca="false">$C30*C$24*C$23*1000</f>
        <v>0</v>
      </c>
      <c r="O30" s="57" t="n">
        <f aca="false">$C30*D$24*D$23*1000</f>
        <v>0</v>
      </c>
      <c r="P30" s="57" t="n">
        <f aca="false">$C30*E$24*E$23*1000</f>
        <v>0</v>
      </c>
      <c r="Q30" s="57" t="n">
        <f aca="false">$C30*F$24*F$23*1000</f>
        <v>0</v>
      </c>
      <c r="R30" s="205" t="n">
        <f aca="false">L30*(B$23*M30/1000+C$23*N30+D$23*O30+E$23*P30+F$23*Q30)</f>
        <v>0</v>
      </c>
      <c r="S30" s="132"/>
      <c r="T30" s="132"/>
      <c r="U30" s="132"/>
    </row>
    <row r="31" customFormat="false" ht="14.05" hidden="false" customHeight="false" outlineLevel="0" collapsed="false">
      <c r="A31" s="56" t="str">
        <f aca="false">IF('Main calculation'!$B$19=2015, "Starting year --&gt;","" )</f>
        <v/>
      </c>
      <c r="B31" s="100" t="n">
        <f aca="false">'Main calculation'!C28</f>
        <v>2015</v>
      </c>
      <c r="C31" s="159"/>
      <c r="D31" s="57" t="n">
        <f aca="false">$C31*B$25*B$23*1000</f>
        <v>0</v>
      </c>
      <c r="E31" s="57" t="n">
        <f aca="false">$C31*C$25*C$23*1000</f>
        <v>0</v>
      </c>
      <c r="F31" s="57" t="n">
        <f aca="false">$C31*D$25*D$23*1000</f>
        <v>0</v>
      </c>
      <c r="G31" s="57" t="n">
        <f aca="false">$C31*E$25*E$23*1000</f>
        <v>0</v>
      </c>
      <c r="H31" s="57" t="n">
        <f aca="false">$C31*F$25*F$23*1000</f>
        <v>0</v>
      </c>
      <c r="I31" s="205" t="n">
        <f aca="false">SUM(D31:H31)</f>
        <v>0</v>
      </c>
      <c r="J31" s="51"/>
      <c r="K31" s="100" t="n">
        <f aca="false">'Main calculation'!C28</f>
        <v>2015</v>
      </c>
      <c r="L31" s="159"/>
      <c r="M31" s="57" t="n">
        <f aca="false">$C31*B$24*B$23*1000</f>
        <v>0</v>
      </c>
      <c r="N31" s="57" t="n">
        <f aca="false">$C31*C$24*C$23*1000</f>
        <v>0</v>
      </c>
      <c r="O31" s="57" t="n">
        <f aca="false">$C31*D$24*D$23*1000</f>
        <v>0</v>
      </c>
      <c r="P31" s="57" t="n">
        <f aca="false">$C31*E$24*E$23*1000</f>
        <v>0</v>
      </c>
      <c r="Q31" s="57" t="n">
        <f aca="false">$C31*F$24*F$23*1000</f>
        <v>0</v>
      </c>
      <c r="R31" s="205" t="n">
        <f aca="false">L31*(B$23*M31/1000+C$23*N31+D$23*O31+E$23*P31+F$23*Q31)</f>
        <v>0</v>
      </c>
      <c r="S31" s="166"/>
      <c r="T31" s="166"/>
      <c r="U31" s="166"/>
    </row>
    <row r="32" customFormat="false" ht="14.05" hidden="false" customHeight="false" outlineLevel="0" collapsed="false">
      <c r="A32" s="56" t="str">
        <f aca="false">IF('Main calculation'!$B$19=2016, "Starting year --&gt;","" )</f>
        <v/>
      </c>
      <c r="B32" s="100" t="n">
        <f aca="false">'Main calculation'!C29</f>
        <v>2016</v>
      </c>
      <c r="C32" s="159"/>
      <c r="D32" s="57" t="n">
        <f aca="false">$C32*B$25*B$23*1000</f>
        <v>0</v>
      </c>
      <c r="E32" s="57" t="n">
        <f aca="false">$C32*C$25*C$23*1000</f>
        <v>0</v>
      </c>
      <c r="F32" s="57" t="n">
        <f aca="false">$C32*D$25*D$23*1000</f>
        <v>0</v>
      </c>
      <c r="G32" s="57" t="n">
        <f aca="false">$C32*E$25*E$23*1000</f>
        <v>0</v>
      </c>
      <c r="H32" s="57" t="n">
        <f aca="false">$C32*F$25*F$23*1000</f>
        <v>0</v>
      </c>
      <c r="I32" s="205" t="n">
        <f aca="false">SUM(D32:H32)</f>
        <v>0</v>
      </c>
      <c r="J32" s="51"/>
      <c r="K32" s="100" t="n">
        <f aca="false">'Main calculation'!C29</f>
        <v>2016</v>
      </c>
      <c r="L32" s="159"/>
      <c r="M32" s="57" t="n">
        <f aca="false">$C32*B$24*B$23*1000</f>
        <v>0</v>
      </c>
      <c r="N32" s="57" t="n">
        <f aca="false">$C32*C$24*C$23*1000</f>
        <v>0</v>
      </c>
      <c r="O32" s="57" t="n">
        <f aca="false">$C32*D$24*D$23*1000</f>
        <v>0</v>
      </c>
      <c r="P32" s="57" t="n">
        <f aca="false">$C32*E$24*E$23*1000</f>
        <v>0</v>
      </c>
      <c r="Q32" s="57" t="n">
        <f aca="false">$C32*F$24*F$23*1000</f>
        <v>0</v>
      </c>
      <c r="R32" s="205" t="n">
        <f aca="false">L32*(B$23*M32/1000+C$23*N32+D$23*O32+E$23*P32+F$23*Q32)</f>
        <v>0</v>
      </c>
      <c r="S32" s="166"/>
      <c r="T32" s="166"/>
      <c r="U32" s="166"/>
    </row>
    <row r="33" customFormat="false" ht="14.05" hidden="false" customHeight="false" outlineLevel="0" collapsed="false">
      <c r="A33" s="56" t="str">
        <f aca="false">IF('Main calculation'!$B$19=2017, "Starting year --&gt;","" )</f>
        <v/>
      </c>
      <c r="B33" s="100" t="n">
        <f aca="false">'Main calculation'!C30</f>
        <v>2017</v>
      </c>
      <c r="C33" s="159"/>
      <c r="D33" s="57" t="n">
        <f aca="false">$C33*B$25*B$23*1000</f>
        <v>0</v>
      </c>
      <c r="E33" s="57" t="n">
        <f aca="false">$C33*C$25*C$23*1000</f>
        <v>0</v>
      </c>
      <c r="F33" s="57" t="n">
        <f aca="false">$C33*D$25*D$23*1000</f>
        <v>0</v>
      </c>
      <c r="G33" s="57" t="n">
        <f aca="false">$C33*E$25*E$23*1000</f>
        <v>0</v>
      </c>
      <c r="H33" s="57" t="n">
        <f aca="false">$C33*F$25*F$23*1000</f>
        <v>0</v>
      </c>
      <c r="I33" s="205" t="n">
        <f aca="false">SUM(D33:H33)</f>
        <v>0</v>
      </c>
      <c r="J33" s="51"/>
      <c r="K33" s="100" t="n">
        <f aca="false">'Main calculation'!C30</f>
        <v>2017</v>
      </c>
      <c r="L33" s="159"/>
      <c r="M33" s="57" t="n">
        <f aca="false">$C33*B$24*B$23*1000</f>
        <v>0</v>
      </c>
      <c r="N33" s="57" t="n">
        <f aca="false">$C33*C$24*C$23*1000</f>
        <v>0</v>
      </c>
      <c r="O33" s="57" t="n">
        <f aca="false">$C33*D$24*D$23*1000</f>
        <v>0</v>
      </c>
      <c r="P33" s="57" t="n">
        <f aca="false">$C33*E$24*E$23*1000</f>
        <v>0</v>
      </c>
      <c r="Q33" s="57" t="n">
        <f aca="false">$C33*F$24*F$23*1000</f>
        <v>0</v>
      </c>
      <c r="R33" s="205" t="n">
        <f aca="false">L33*(B$23*M33/1000+C$23*N33+D$23*O33+E$23*P33+F$23*Q33)</f>
        <v>0</v>
      </c>
      <c r="S33" s="166"/>
      <c r="T33" s="166"/>
      <c r="U33" s="166"/>
    </row>
    <row r="34" customFormat="false" ht="14.05" hidden="false" customHeight="false" outlineLevel="0" collapsed="false">
      <c r="A34" s="56" t="str">
        <f aca="false">IF('Main calculation'!$B$19=2018, "Starting year --&gt;","" )</f>
        <v/>
      </c>
      <c r="B34" s="100" t="n">
        <f aca="false">'Main calculation'!C31</f>
        <v>2018</v>
      </c>
      <c r="C34" s="159"/>
      <c r="D34" s="57" t="n">
        <f aca="false">$C34*B$25*B$23*1000</f>
        <v>0</v>
      </c>
      <c r="E34" s="57" t="n">
        <f aca="false">$C34*C$25*C$23*1000</f>
        <v>0</v>
      </c>
      <c r="F34" s="57" t="n">
        <f aca="false">$C34*D$25*D$23*1000</f>
        <v>0</v>
      </c>
      <c r="G34" s="57" t="n">
        <f aca="false">$C34*E$25*E$23*1000</f>
        <v>0</v>
      </c>
      <c r="H34" s="57" t="n">
        <f aca="false">$C34*F$25*F$23*1000</f>
        <v>0</v>
      </c>
      <c r="I34" s="205" t="n">
        <f aca="false">SUM(D34:H34)</f>
        <v>0</v>
      </c>
      <c r="J34" s="51"/>
      <c r="K34" s="100" t="n">
        <f aca="false">'Main calculation'!C31</f>
        <v>2018</v>
      </c>
      <c r="L34" s="159"/>
      <c r="M34" s="57" t="n">
        <f aca="false">$C34*B$24*B$23*1000</f>
        <v>0</v>
      </c>
      <c r="N34" s="57" t="n">
        <f aca="false">$C34*C$24*C$23*1000</f>
        <v>0</v>
      </c>
      <c r="O34" s="57" t="n">
        <f aca="false">$C34*D$24*D$23*1000</f>
        <v>0</v>
      </c>
      <c r="P34" s="57" t="n">
        <f aca="false">$C34*E$24*E$23*1000</f>
        <v>0</v>
      </c>
      <c r="Q34" s="57" t="n">
        <f aca="false">$C34*F$24*F$23*1000</f>
        <v>0</v>
      </c>
      <c r="R34" s="205" t="n">
        <f aca="false">L34*(B$23*M34/1000+C$23*N34+D$23*O34+E$23*P34+F$23*Q34)</f>
        <v>0</v>
      </c>
      <c r="S34" s="166"/>
      <c r="T34" s="166"/>
      <c r="U34" s="166"/>
    </row>
    <row r="35" customFormat="false" ht="14.05" hidden="false" customHeight="false" outlineLevel="0" collapsed="false">
      <c r="A35" s="56" t="str">
        <f aca="false">IF('Main calculation'!$B$19=2019, "Starting year --&gt;","" )</f>
        <v/>
      </c>
      <c r="B35" s="100" t="n">
        <f aca="false">'Main calculation'!C32</f>
        <v>2019</v>
      </c>
      <c r="C35" s="159"/>
      <c r="D35" s="57" t="n">
        <f aca="false">$C35*B$25*B$23*1000</f>
        <v>0</v>
      </c>
      <c r="E35" s="57" t="n">
        <f aca="false">$C35*C$25*C$23*1000</f>
        <v>0</v>
      </c>
      <c r="F35" s="57" t="n">
        <f aca="false">$C35*D$25*D$23*1000</f>
        <v>0</v>
      </c>
      <c r="G35" s="57" t="n">
        <f aca="false">$C35*E$25*E$23*1000</f>
        <v>0</v>
      </c>
      <c r="H35" s="57" t="n">
        <f aca="false">$C35*F$25*F$23*1000</f>
        <v>0</v>
      </c>
      <c r="I35" s="205" t="n">
        <f aca="false">SUM(D35:H35)</f>
        <v>0</v>
      </c>
      <c r="J35" s="51"/>
      <c r="K35" s="100" t="n">
        <f aca="false">'Main calculation'!C32</f>
        <v>2019</v>
      </c>
      <c r="L35" s="159"/>
      <c r="M35" s="57" t="n">
        <f aca="false">$C35*B$24*B$23*1000</f>
        <v>0</v>
      </c>
      <c r="N35" s="57" t="n">
        <f aca="false">$C35*C$24*C$23*1000</f>
        <v>0</v>
      </c>
      <c r="O35" s="57" t="n">
        <f aca="false">$C35*D$24*D$23*1000</f>
        <v>0</v>
      </c>
      <c r="P35" s="57" t="n">
        <f aca="false">$C35*E$24*E$23*1000</f>
        <v>0</v>
      </c>
      <c r="Q35" s="57" t="n">
        <f aca="false">$C35*F$24*F$23*1000</f>
        <v>0</v>
      </c>
      <c r="R35" s="205" t="n">
        <f aca="false">L35*(B$23*M35/1000+C$23*N35+D$23*O35+E$23*P35+F$23*Q35)</f>
        <v>0</v>
      </c>
      <c r="S35" s="166"/>
      <c r="T35" s="166"/>
      <c r="U35" s="166"/>
    </row>
    <row r="36" customFormat="false" ht="14.05" hidden="false" customHeight="false" outlineLevel="0" collapsed="false">
      <c r="A36" s="56" t="str">
        <f aca="false">IF('Main calculation'!$B$19=2020, "Starting year --&gt;","" )</f>
        <v/>
      </c>
      <c r="B36" s="100" t="n">
        <f aca="false">'Main calculation'!C33</f>
        <v>2020</v>
      </c>
      <c r="C36" s="159"/>
      <c r="D36" s="57" t="n">
        <f aca="false">$C36*B$25*B$23*1000</f>
        <v>0</v>
      </c>
      <c r="E36" s="57" t="n">
        <f aca="false">$C36*C$25*C$23*1000</f>
        <v>0</v>
      </c>
      <c r="F36" s="57" t="n">
        <f aca="false">$C36*D$25*D$23*1000</f>
        <v>0</v>
      </c>
      <c r="G36" s="57" t="n">
        <f aca="false">$C36*E$25*E$23*1000</f>
        <v>0</v>
      </c>
      <c r="H36" s="57" t="n">
        <f aca="false">$C36*F$25*F$23*1000</f>
        <v>0</v>
      </c>
      <c r="I36" s="205" t="n">
        <f aca="false">SUM(D36:H36)</f>
        <v>0</v>
      </c>
      <c r="J36" s="51"/>
      <c r="K36" s="100" t="n">
        <f aca="false">'Main calculation'!C33</f>
        <v>2020</v>
      </c>
      <c r="L36" s="159"/>
      <c r="M36" s="57" t="n">
        <f aca="false">$C36*B$24*B$23*1000</f>
        <v>0</v>
      </c>
      <c r="N36" s="57" t="n">
        <f aca="false">$C36*C$24*C$23*1000</f>
        <v>0</v>
      </c>
      <c r="O36" s="57" t="n">
        <f aca="false">$C36*D$24*D$23*1000</f>
        <v>0</v>
      </c>
      <c r="P36" s="57" t="n">
        <f aca="false">$C36*E$24*E$23*1000</f>
        <v>0</v>
      </c>
      <c r="Q36" s="57" t="n">
        <f aca="false">$C36*F$24*F$23*1000</f>
        <v>0</v>
      </c>
      <c r="R36" s="205" t="n">
        <f aca="false">L36*(B$23*M36/1000+C$23*N36+D$23*O36+E$23*P36+F$23*Q36)</f>
        <v>0</v>
      </c>
      <c r="S36" s="166"/>
      <c r="T36" s="166"/>
      <c r="U36" s="166"/>
    </row>
    <row r="37" customFormat="false" ht="14.05" hidden="false" customHeight="false" outlineLevel="0" collapsed="false">
      <c r="A37" s="56" t="str">
        <f aca="false">IF('Main calculation'!$B$19=2021, "Starting year --&gt;","" )</f>
        <v/>
      </c>
      <c r="B37" s="100" t="n">
        <f aca="false">'Main calculation'!C34</f>
        <v>2021</v>
      </c>
      <c r="C37" s="159"/>
      <c r="D37" s="57" t="n">
        <f aca="false">$C37*B$25*B$23*1000</f>
        <v>0</v>
      </c>
      <c r="E37" s="57" t="n">
        <f aca="false">$C37*C$25*C$23*1000</f>
        <v>0</v>
      </c>
      <c r="F37" s="57" t="n">
        <f aca="false">$C37*D$25*D$23*1000</f>
        <v>0</v>
      </c>
      <c r="G37" s="57" t="n">
        <f aca="false">$C37*E$25*E$23*1000</f>
        <v>0</v>
      </c>
      <c r="H37" s="57" t="n">
        <f aca="false">$C37*F$25*F$23*1000</f>
        <v>0</v>
      </c>
      <c r="I37" s="205" t="n">
        <f aca="false">SUM(D37:H37)</f>
        <v>0</v>
      </c>
      <c r="J37" s="51"/>
      <c r="K37" s="100" t="n">
        <f aca="false">'Main calculation'!C34</f>
        <v>2021</v>
      </c>
      <c r="L37" s="159"/>
      <c r="M37" s="57" t="n">
        <f aca="false">$C37*B$24*B$23*1000</f>
        <v>0</v>
      </c>
      <c r="N37" s="57" t="n">
        <f aca="false">$C37*C$24*C$23*1000</f>
        <v>0</v>
      </c>
      <c r="O37" s="57" t="n">
        <f aca="false">$C37*D$24*D$23*1000</f>
        <v>0</v>
      </c>
      <c r="P37" s="57" t="n">
        <f aca="false">$C37*E$24*E$23*1000</f>
        <v>0</v>
      </c>
      <c r="Q37" s="57" t="n">
        <f aca="false">$C37*F$24*F$23*1000</f>
        <v>0</v>
      </c>
      <c r="R37" s="205" t="n">
        <f aca="false">L37*(B$23*M37/1000+C$23*N37+D$23*O37+E$23*P37+F$23*Q37)</f>
        <v>0</v>
      </c>
      <c r="S37" s="166"/>
      <c r="T37" s="166"/>
      <c r="U37" s="166"/>
    </row>
    <row r="38" customFormat="false" ht="14.05" hidden="false" customHeight="false" outlineLevel="0" collapsed="false">
      <c r="A38" s="56" t="str">
        <f aca="false">IF('Main calculation'!$B$19=2022, "Starting year --&gt;","" )</f>
        <v/>
      </c>
      <c r="B38" s="100" t="n">
        <f aca="false">'Main calculation'!C35</f>
        <v>2022</v>
      </c>
      <c r="C38" s="159"/>
      <c r="D38" s="57" t="n">
        <f aca="false">$C38*B$25*B$23*1000</f>
        <v>0</v>
      </c>
      <c r="E38" s="57" t="n">
        <f aca="false">$C38*C$25*C$23*1000</f>
        <v>0</v>
      </c>
      <c r="F38" s="57" t="n">
        <f aca="false">$C38*D$25*D$23*1000</f>
        <v>0</v>
      </c>
      <c r="G38" s="57" t="n">
        <f aca="false">$C38*E$25*E$23*1000</f>
        <v>0</v>
      </c>
      <c r="H38" s="57" t="n">
        <f aca="false">$C38*F$25*F$23*1000</f>
        <v>0</v>
      </c>
      <c r="I38" s="205" t="n">
        <f aca="false">SUM(D38:H38)</f>
        <v>0</v>
      </c>
      <c r="J38" s="51"/>
      <c r="K38" s="100" t="n">
        <f aca="false">'Main calculation'!C35</f>
        <v>2022</v>
      </c>
      <c r="L38" s="159"/>
      <c r="M38" s="57" t="n">
        <f aca="false">$C38*B$24*B$23*1000</f>
        <v>0</v>
      </c>
      <c r="N38" s="57" t="n">
        <f aca="false">$C38*C$24*C$23*1000</f>
        <v>0</v>
      </c>
      <c r="O38" s="57" t="n">
        <f aca="false">$C38*D$24*D$23*1000</f>
        <v>0</v>
      </c>
      <c r="P38" s="57" t="n">
        <f aca="false">$C38*E$24*E$23*1000</f>
        <v>0</v>
      </c>
      <c r="Q38" s="57" t="n">
        <f aca="false">$C38*F$24*F$23*1000</f>
        <v>0</v>
      </c>
      <c r="R38" s="205" t="n">
        <f aca="false">L38*(B$23*M38/1000+C$23*N38+D$23*O38+E$23*P38+F$23*Q38)</f>
        <v>0</v>
      </c>
      <c r="S38" s="166"/>
      <c r="T38" s="166"/>
      <c r="U38" s="166"/>
    </row>
    <row r="39" customFormat="false" ht="14.05" hidden="false" customHeight="false" outlineLevel="0" collapsed="false">
      <c r="A39" s="56" t="str">
        <f aca="false">IF('Main calculation'!$B$19=2023, "Starting year --&gt;","" )</f>
        <v/>
      </c>
      <c r="B39" s="100" t="n">
        <f aca="false">'Main calculation'!C36</f>
        <v>2023</v>
      </c>
      <c r="C39" s="159"/>
      <c r="D39" s="57" t="n">
        <f aca="false">$C39*B$25*B$23*1000</f>
        <v>0</v>
      </c>
      <c r="E39" s="57" t="n">
        <f aca="false">$C39*C$25*C$23*1000</f>
        <v>0</v>
      </c>
      <c r="F39" s="57" t="n">
        <f aca="false">$C39*D$25*D$23*1000</f>
        <v>0</v>
      </c>
      <c r="G39" s="57" t="n">
        <f aca="false">$C39*E$25*E$23*1000</f>
        <v>0</v>
      </c>
      <c r="H39" s="57" t="n">
        <f aca="false">$C39*F$25*F$23*1000</f>
        <v>0</v>
      </c>
      <c r="I39" s="205" t="n">
        <f aca="false">SUM(D39:H39)</f>
        <v>0</v>
      </c>
      <c r="J39" s="51"/>
      <c r="K39" s="100" t="n">
        <f aca="false">'Main calculation'!C36</f>
        <v>2023</v>
      </c>
      <c r="L39" s="159"/>
      <c r="M39" s="57" t="n">
        <f aca="false">$C39*B$24*B$23*1000</f>
        <v>0</v>
      </c>
      <c r="N39" s="57" t="n">
        <f aca="false">$C39*C$24*C$23*1000</f>
        <v>0</v>
      </c>
      <c r="O39" s="57" t="n">
        <f aca="false">$C39*D$24*D$23*1000</f>
        <v>0</v>
      </c>
      <c r="P39" s="57" t="n">
        <f aca="false">$C39*E$24*E$23*1000</f>
        <v>0</v>
      </c>
      <c r="Q39" s="57" t="n">
        <f aca="false">$C39*F$24*F$23*1000</f>
        <v>0</v>
      </c>
      <c r="R39" s="205" t="n">
        <f aca="false">L39*(B$23*M39/1000+C$23*N39+D$23*O39+E$23*P39+F$23*Q39)</f>
        <v>0</v>
      </c>
      <c r="S39" s="166"/>
      <c r="T39" s="166"/>
      <c r="U39" s="166"/>
    </row>
    <row r="40" customFormat="false" ht="14.05" hidden="false" customHeight="false" outlineLevel="0" collapsed="false">
      <c r="A40" s="56" t="str">
        <f aca="false">IF('Main calculation'!$B$19=2024, "Starting year --&gt;","" )</f>
        <v/>
      </c>
      <c r="B40" s="100" t="n">
        <f aca="false">'Main calculation'!C37</f>
        <v>2024</v>
      </c>
      <c r="C40" s="159"/>
      <c r="D40" s="57" t="n">
        <f aca="false">$C40*B$25*B$23*1000</f>
        <v>0</v>
      </c>
      <c r="E40" s="57" t="n">
        <f aca="false">$C40*C$25*C$23*1000</f>
        <v>0</v>
      </c>
      <c r="F40" s="57" t="n">
        <f aca="false">$C40*D$25*D$23*1000</f>
        <v>0</v>
      </c>
      <c r="G40" s="57" t="n">
        <f aca="false">$C40*E$25*E$23*1000</f>
        <v>0</v>
      </c>
      <c r="H40" s="57" t="n">
        <f aca="false">$C40*F$25*F$23*1000</f>
        <v>0</v>
      </c>
      <c r="I40" s="205" t="n">
        <f aca="false">SUM(D40:H40)</f>
        <v>0</v>
      </c>
      <c r="J40" s="51"/>
      <c r="K40" s="100" t="n">
        <f aca="false">'Main calculation'!C37</f>
        <v>2024</v>
      </c>
      <c r="L40" s="159"/>
      <c r="M40" s="57" t="n">
        <f aca="false">$C40*B$24*B$23*1000</f>
        <v>0</v>
      </c>
      <c r="N40" s="57" t="n">
        <f aca="false">$C40*C$24*C$23*1000</f>
        <v>0</v>
      </c>
      <c r="O40" s="57" t="n">
        <f aca="false">$C40*D$24*D$23*1000</f>
        <v>0</v>
      </c>
      <c r="P40" s="57" t="n">
        <f aca="false">$C40*E$24*E$23*1000</f>
        <v>0</v>
      </c>
      <c r="Q40" s="57" t="n">
        <f aca="false">$C40*F$24*F$23*1000</f>
        <v>0</v>
      </c>
      <c r="R40" s="205" t="n">
        <f aca="false">L40*(B$23*M40/1000+C$23*N40+D$23*O40+E$23*P40+F$23*Q40)</f>
        <v>0</v>
      </c>
      <c r="S40" s="166"/>
      <c r="T40" s="166"/>
      <c r="U40" s="166"/>
    </row>
    <row r="41" customFormat="false" ht="14.05" hidden="false" customHeight="false" outlineLevel="0" collapsed="false">
      <c r="A41" s="56" t="str">
        <f aca="false">IF('Main calculation'!$B$19=2025, "Starting year --&gt;","" )</f>
        <v/>
      </c>
      <c r="B41" s="100" t="n">
        <f aca="false">'Main calculation'!C38</f>
        <v>2025</v>
      </c>
      <c r="C41" s="159"/>
      <c r="D41" s="57" t="n">
        <f aca="false">$C41*B$25*B$23*1000</f>
        <v>0</v>
      </c>
      <c r="E41" s="57" t="n">
        <f aca="false">$C41*C$25*C$23*1000</f>
        <v>0</v>
      </c>
      <c r="F41" s="57" t="n">
        <f aca="false">$C41*D$25*D$23*1000</f>
        <v>0</v>
      </c>
      <c r="G41" s="57" t="n">
        <f aca="false">$C41*E$25*E$23*1000</f>
        <v>0</v>
      </c>
      <c r="H41" s="57" t="n">
        <f aca="false">$C41*F$25*F$23*1000</f>
        <v>0</v>
      </c>
      <c r="I41" s="205" t="n">
        <f aca="false">SUM(D41:H41)</f>
        <v>0</v>
      </c>
      <c r="J41" s="51"/>
      <c r="K41" s="100" t="n">
        <f aca="false">'Main calculation'!C38</f>
        <v>2025</v>
      </c>
      <c r="L41" s="159"/>
      <c r="M41" s="57" t="n">
        <f aca="false">$C41*B$24*B$23*1000</f>
        <v>0</v>
      </c>
      <c r="N41" s="57" t="n">
        <f aca="false">$C41*C$24*C$23*1000</f>
        <v>0</v>
      </c>
      <c r="O41" s="57" t="n">
        <f aca="false">$C41*D$24*D$23*1000</f>
        <v>0</v>
      </c>
      <c r="P41" s="57" t="n">
        <f aca="false">$C41*E$24*E$23*1000</f>
        <v>0</v>
      </c>
      <c r="Q41" s="57" t="n">
        <f aca="false">$C41*F$24*F$23*1000</f>
        <v>0</v>
      </c>
      <c r="R41" s="205" t="n">
        <f aca="false">L41*(B$23*M41/1000+C$23*N41+D$23*O41+E$23*P41+F$23*Q41)</f>
        <v>0</v>
      </c>
      <c r="S41" s="166"/>
      <c r="T41" s="166"/>
      <c r="U41" s="166"/>
    </row>
    <row r="42" customFormat="false" ht="14.05" hidden="false" customHeight="false" outlineLevel="0" collapsed="false">
      <c r="A42" s="56" t="str">
        <f aca="false">IF('Main calculation'!$B$19=2026, "Starting year --&gt;","" )</f>
        <v/>
      </c>
      <c r="B42" s="100" t="n">
        <f aca="false">'Main calculation'!C39</f>
        <v>2026</v>
      </c>
      <c r="C42" s="159"/>
      <c r="D42" s="57" t="n">
        <f aca="false">$C42*B$25*B$23*1000</f>
        <v>0</v>
      </c>
      <c r="E42" s="57" t="n">
        <f aca="false">$C42*C$25*C$23*1000</f>
        <v>0</v>
      </c>
      <c r="F42" s="57" t="n">
        <f aca="false">$C42*D$25*D$23*1000</f>
        <v>0</v>
      </c>
      <c r="G42" s="57" t="n">
        <f aca="false">$C42*E$25*E$23*1000</f>
        <v>0</v>
      </c>
      <c r="H42" s="57" t="n">
        <f aca="false">$C42*F$25*F$23*1000</f>
        <v>0</v>
      </c>
      <c r="I42" s="205" t="n">
        <f aca="false">SUM(D42:H42)</f>
        <v>0</v>
      </c>
      <c r="J42" s="51"/>
      <c r="K42" s="100" t="n">
        <f aca="false">'Main calculation'!C39</f>
        <v>2026</v>
      </c>
      <c r="L42" s="159"/>
      <c r="M42" s="57" t="n">
        <f aca="false">$C42*B$24*B$23*1000</f>
        <v>0</v>
      </c>
      <c r="N42" s="57" t="n">
        <f aca="false">$C42*C$24*C$23*1000</f>
        <v>0</v>
      </c>
      <c r="O42" s="57" t="n">
        <f aca="false">$C42*D$24*D$23*1000</f>
        <v>0</v>
      </c>
      <c r="P42" s="57" t="n">
        <f aca="false">$C42*E$24*E$23*1000</f>
        <v>0</v>
      </c>
      <c r="Q42" s="57" t="n">
        <f aca="false">$C42*F$24*F$23*1000</f>
        <v>0</v>
      </c>
      <c r="R42" s="205" t="n">
        <f aca="false">L42*(B$23*M42/1000+C$23*N42+D$23*O42+E$23*P42+F$23*Q42)</f>
        <v>0</v>
      </c>
      <c r="S42" s="166"/>
      <c r="T42" s="166"/>
      <c r="U42" s="166"/>
    </row>
    <row r="43" customFormat="false" ht="14.05" hidden="false" customHeight="false" outlineLevel="0" collapsed="false">
      <c r="A43" s="56" t="str">
        <f aca="false">IF('Main calculation'!$B$19=2027, "Starting year --&gt;","" )</f>
        <v/>
      </c>
      <c r="B43" s="100" t="n">
        <f aca="false">'Main calculation'!C40</f>
        <v>2027</v>
      </c>
      <c r="C43" s="159"/>
      <c r="D43" s="57" t="n">
        <f aca="false">$C43*B$25*B$23*1000</f>
        <v>0</v>
      </c>
      <c r="E43" s="57" t="n">
        <f aca="false">$C43*C$25*C$23*1000</f>
        <v>0</v>
      </c>
      <c r="F43" s="57" t="n">
        <f aca="false">$C43*D$25*D$23*1000</f>
        <v>0</v>
      </c>
      <c r="G43" s="57" t="n">
        <f aca="false">$C43*E$25*E$23*1000</f>
        <v>0</v>
      </c>
      <c r="H43" s="57" t="n">
        <f aca="false">$C43*F$25*F$23*1000</f>
        <v>0</v>
      </c>
      <c r="I43" s="205" t="n">
        <f aca="false">SUM(D43:H43)</f>
        <v>0</v>
      </c>
      <c r="J43" s="51"/>
      <c r="K43" s="100" t="n">
        <f aca="false">'Main calculation'!C40</f>
        <v>2027</v>
      </c>
      <c r="L43" s="159"/>
      <c r="M43" s="57" t="n">
        <f aca="false">$C43*B$24*B$23*1000</f>
        <v>0</v>
      </c>
      <c r="N43" s="57" t="n">
        <f aca="false">$C43*C$24*C$23*1000</f>
        <v>0</v>
      </c>
      <c r="O43" s="57" t="n">
        <f aca="false">$C43*D$24*D$23*1000</f>
        <v>0</v>
      </c>
      <c r="P43" s="57" t="n">
        <f aca="false">$C43*E$24*E$23*1000</f>
        <v>0</v>
      </c>
      <c r="Q43" s="57" t="n">
        <f aca="false">$C43*F$24*F$23*1000</f>
        <v>0</v>
      </c>
      <c r="R43" s="205" t="n">
        <f aca="false">L43*(B$23*M43/1000+C$23*N43+D$23*O43+E$23*P43+F$23*Q43)</f>
        <v>0</v>
      </c>
      <c r="S43" s="166"/>
      <c r="T43" s="166"/>
      <c r="U43" s="166"/>
    </row>
    <row r="44" customFormat="false" ht="14.05" hidden="false" customHeight="false" outlineLevel="0" collapsed="false">
      <c r="A44" s="56" t="str">
        <f aca="false">IF('Main calculation'!$B$20=2028, "Finishing year --&gt;","" )</f>
        <v>Finishing year --&gt;</v>
      </c>
      <c r="B44" s="100" t="n">
        <f aca="false">'Main calculation'!C41</f>
        <v>2028</v>
      </c>
      <c r="C44" s="159"/>
      <c r="D44" s="57" t="n">
        <f aca="false">$C44*B$25*B$23*1000</f>
        <v>0</v>
      </c>
      <c r="E44" s="57" t="n">
        <f aca="false">$C44*C$25*C$23*1000</f>
        <v>0</v>
      </c>
      <c r="F44" s="57" t="n">
        <f aca="false">$C44*D$25*D$23*1000</f>
        <v>0</v>
      </c>
      <c r="G44" s="57" t="n">
        <f aca="false">$C44*E$25*E$23*1000</f>
        <v>0</v>
      </c>
      <c r="H44" s="57" t="n">
        <f aca="false">$C44*F$25*F$23*1000</f>
        <v>0</v>
      </c>
      <c r="I44" s="205" t="n">
        <f aca="false">SUM(D44:H44)</f>
        <v>0</v>
      </c>
      <c r="J44" s="51"/>
      <c r="K44" s="100" t="n">
        <f aca="false">'Main calculation'!C41</f>
        <v>2028</v>
      </c>
      <c r="L44" s="159"/>
      <c r="M44" s="57" t="n">
        <f aca="false">$C44*B$24*B$23*1000</f>
        <v>0</v>
      </c>
      <c r="N44" s="57" t="n">
        <f aca="false">$C44*C$24*C$23*1000</f>
        <v>0</v>
      </c>
      <c r="O44" s="57" t="n">
        <f aca="false">$C44*D$24*D$23*1000</f>
        <v>0</v>
      </c>
      <c r="P44" s="57" t="n">
        <f aca="false">$C44*E$24*E$23*1000</f>
        <v>0</v>
      </c>
      <c r="Q44" s="57" t="n">
        <f aca="false">$C44*F$24*F$23*1000</f>
        <v>0</v>
      </c>
      <c r="R44" s="205" t="n">
        <f aca="false">L44*(B$23*M44/1000+C$23*N44+D$23*O44+E$23*P44+F$23*Q44)</f>
        <v>0</v>
      </c>
      <c r="S44" s="166"/>
      <c r="T44" s="166"/>
      <c r="U44" s="166"/>
    </row>
    <row r="45" customFormat="false" ht="14.05" hidden="false" customHeight="false" outlineLevel="0" collapsed="false">
      <c r="A45" s="56" t="str">
        <f aca="false">IF('Main calculation'!$B$20=2029, "Finishing year --&gt;","" )</f>
        <v/>
      </c>
      <c r="B45" s="100" t="n">
        <f aca="false">'Main calculation'!C42</f>
        <v>2029</v>
      </c>
      <c r="C45" s="159"/>
      <c r="D45" s="57" t="n">
        <f aca="false">$C45*B$25*B$23*1000</f>
        <v>0</v>
      </c>
      <c r="E45" s="57" t="n">
        <f aca="false">$C45*C$25*C$23*1000</f>
        <v>0</v>
      </c>
      <c r="F45" s="57" t="n">
        <f aca="false">$C45*D$25*D$23*1000</f>
        <v>0</v>
      </c>
      <c r="G45" s="57" t="n">
        <f aca="false">$C45*E$25*E$23*1000</f>
        <v>0</v>
      </c>
      <c r="H45" s="57" t="n">
        <f aca="false">$C45*F$25*F$23*1000</f>
        <v>0</v>
      </c>
      <c r="I45" s="205" t="n">
        <f aca="false">SUM(D45:H45)</f>
        <v>0</v>
      </c>
      <c r="J45" s="51"/>
      <c r="K45" s="100" t="n">
        <f aca="false">'Main calculation'!C42</f>
        <v>2029</v>
      </c>
      <c r="L45" s="159"/>
      <c r="M45" s="57" t="n">
        <f aca="false">$C45*B$24*B$23*1000</f>
        <v>0</v>
      </c>
      <c r="N45" s="57" t="n">
        <f aca="false">$C45*C$24*C$23*1000</f>
        <v>0</v>
      </c>
      <c r="O45" s="57" t="n">
        <f aca="false">$C45*D$24*D$23*1000</f>
        <v>0</v>
      </c>
      <c r="P45" s="57" t="n">
        <f aca="false">$C45*E$24*E$23*1000</f>
        <v>0</v>
      </c>
      <c r="Q45" s="57" t="n">
        <f aca="false">$C45*F$24*F$23*1000</f>
        <v>0</v>
      </c>
      <c r="R45" s="205" t="n">
        <f aca="false">L45*(B$23*M45/1000+C$23*N45+D$23*O45+E$23*P45+F$23*Q45)</f>
        <v>0</v>
      </c>
      <c r="S45" s="166"/>
      <c r="T45" s="166"/>
      <c r="U45" s="166"/>
    </row>
    <row r="46" customFormat="false" ht="14.05" hidden="false" customHeight="false" outlineLevel="0" collapsed="false">
      <c r="A46" s="56" t="str">
        <f aca="false">IF('Main calculation'!$B$20=2030, "Finishing year --&gt;","" )</f>
        <v/>
      </c>
      <c r="B46" s="100" t="n">
        <f aca="false">'Main calculation'!C43</f>
        <v>2030</v>
      </c>
      <c r="C46" s="159"/>
      <c r="D46" s="57" t="n">
        <f aca="false">$C46*B$25*B$23*1000</f>
        <v>0</v>
      </c>
      <c r="E46" s="57" t="n">
        <f aca="false">$C46*C$25*C$23*1000</f>
        <v>0</v>
      </c>
      <c r="F46" s="57" t="n">
        <f aca="false">$C46*D$25*D$23*1000</f>
        <v>0</v>
      </c>
      <c r="G46" s="57" t="n">
        <f aca="false">$C46*E$25*E$23*1000</f>
        <v>0</v>
      </c>
      <c r="H46" s="57" t="n">
        <f aca="false">$C46*F$25*F$23*1000</f>
        <v>0</v>
      </c>
      <c r="I46" s="205" t="n">
        <f aca="false">SUM(D46:H46)</f>
        <v>0</v>
      </c>
      <c r="J46" s="51"/>
      <c r="K46" s="100" t="n">
        <f aca="false">'Main calculation'!C43</f>
        <v>2030</v>
      </c>
      <c r="L46" s="159"/>
      <c r="M46" s="57" t="n">
        <f aca="false">$C46*B$24*B$23*1000</f>
        <v>0</v>
      </c>
      <c r="N46" s="57" t="n">
        <f aca="false">$C46*C$24*C$23*1000</f>
        <v>0</v>
      </c>
      <c r="O46" s="57" t="n">
        <f aca="false">$C46*D$24*D$23*1000</f>
        <v>0</v>
      </c>
      <c r="P46" s="57" t="n">
        <f aca="false">$C46*E$24*E$23*1000</f>
        <v>0</v>
      </c>
      <c r="Q46" s="57" t="n">
        <f aca="false">$C46*F$24*F$23*1000</f>
        <v>0</v>
      </c>
      <c r="R46" s="205" t="n">
        <f aca="false">L46*(B$23*M46/1000+C$23*N46+D$23*O46+E$23*P46+F$23*Q46)</f>
        <v>0</v>
      </c>
      <c r="S46" s="166"/>
      <c r="T46" s="166"/>
      <c r="U46" s="166"/>
    </row>
    <row r="47" customFormat="false" ht="14.05" hidden="false" customHeight="false" outlineLevel="0" collapsed="false">
      <c r="A47" s="56" t="str">
        <f aca="false">IF('Main calculation'!$B$20=2031, "Finishing year --&gt;","" )</f>
        <v/>
      </c>
    </row>
    <row r="48" customFormat="false" ht="14.05" hidden="false" customHeight="false" outlineLevel="0" collapsed="false">
      <c r="A48" s="56" t="str">
        <f aca="false">IF('Main calculation'!$B$20=2032, "Finishing year --&gt;","" )</f>
        <v/>
      </c>
    </row>
    <row r="49" customFormat="false" ht="14.05" hidden="false" customHeight="false" outlineLevel="0" collapsed="false">
      <c r="A49" s="56" t="str">
        <f aca="false">IF('Main calculation'!$B$20=2033, "Finishing year --&gt;","" )</f>
        <v/>
      </c>
    </row>
    <row r="51" customFormat="false" ht="14.05" hidden="false" customHeight="false" outlineLevel="0" collapsed="false">
      <c r="G51" s="55"/>
      <c r="H51" s="245"/>
      <c r="I51" s="55"/>
      <c r="J51" s="55"/>
      <c r="K51" s="55"/>
      <c r="L51" s="55"/>
      <c r="M51" s="55"/>
      <c r="N51" s="55"/>
      <c r="O51" s="55"/>
      <c r="P51" s="55"/>
    </row>
    <row r="52" customFormat="false" ht="14.05" hidden="false" customHeight="false" outlineLevel="0" collapsed="false">
      <c r="G52" s="55"/>
      <c r="H52" s="191"/>
      <c r="I52" s="191"/>
      <c r="J52" s="191"/>
      <c r="K52" s="191"/>
      <c r="L52" s="191"/>
      <c r="M52" s="191"/>
      <c r="N52" s="191"/>
      <c r="O52" s="191"/>
      <c r="P52" s="55"/>
    </row>
    <row r="53" customFormat="false" ht="14.05" hidden="false" customHeight="false" outlineLevel="0" collapsed="false">
      <c r="G53" s="55"/>
      <c r="H53" s="246"/>
      <c r="I53" s="246"/>
      <c r="J53" s="247"/>
      <c r="K53" s="246"/>
      <c r="L53" s="246"/>
      <c r="M53" s="246"/>
      <c r="N53" s="246"/>
      <c r="O53" s="246"/>
      <c r="P53" s="55"/>
    </row>
    <row r="54" customFormat="false" ht="14.05" hidden="false" customHeight="false" outlineLevel="0" collapsed="false">
      <c r="G54" s="55"/>
      <c r="H54" s="248"/>
      <c r="I54" s="248"/>
      <c r="J54" s="248"/>
      <c r="K54" s="248"/>
      <c r="L54" s="248"/>
      <c r="M54" s="248"/>
      <c r="N54" s="248"/>
      <c r="O54" s="248"/>
      <c r="P54" s="55"/>
    </row>
    <row r="55" customFormat="false" ht="14.05" hidden="false" customHeight="false" outlineLevel="0" collapsed="false">
      <c r="G55" s="55"/>
      <c r="H55" s="248"/>
      <c r="I55" s="248"/>
      <c r="J55" s="248"/>
      <c r="K55" s="248"/>
      <c r="L55" s="248"/>
      <c r="M55" s="248"/>
      <c r="N55" s="248"/>
      <c r="O55" s="248"/>
      <c r="P55" s="55"/>
    </row>
    <row r="56" customFormat="false" ht="14.05" hidden="false" customHeight="false" outlineLevel="0" collapsed="false">
      <c r="G56" s="55"/>
      <c r="H56" s="248"/>
      <c r="I56" s="248"/>
      <c r="J56" s="248"/>
      <c r="K56" s="248"/>
      <c r="L56" s="248"/>
      <c r="M56" s="248"/>
      <c r="N56" s="248"/>
      <c r="O56" s="248"/>
      <c r="P56" s="55"/>
    </row>
    <row r="57" customFormat="false" ht="14.05" hidden="false" customHeight="false" outlineLevel="0" collapsed="false">
      <c r="G57" s="55"/>
      <c r="H57" s="248"/>
      <c r="I57" s="248"/>
      <c r="J57" s="248"/>
      <c r="K57" s="248"/>
      <c r="L57" s="248"/>
      <c r="M57" s="248"/>
      <c r="N57" s="248"/>
      <c r="O57" s="248"/>
      <c r="P57" s="55"/>
    </row>
    <row r="58" customFormat="false" ht="14.05" hidden="false" customHeight="false" outlineLevel="0" collapsed="false">
      <c r="G58" s="55"/>
      <c r="H58" s="248"/>
      <c r="I58" s="249"/>
      <c r="J58" s="249"/>
      <c r="K58" s="249"/>
      <c r="L58" s="249"/>
      <c r="M58" s="249"/>
      <c r="N58" s="249"/>
      <c r="O58" s="249"/>
      <c r="P58" s="55"/>
    </row>
    <row r="59" customFormat="false" ht="14.05" hidden="false" customHeight="false" outlineLevel="0" collapsed="false">
      <c r="G59" s="55"/>
      <c r="H59" s="248"/>
      <c r="I59" s="248"/>
      <c r="J59" s="248"/>
      <c r="K59" s="248"/>
      <c r="L59" s="248"/>
      <c r="M59" s="248"/>
      <c r="N59" s="248"/>
      <c r="O59" s="250"/>
      <c r="P59" s="55"/>
    </row>
    <row r="60" customFormat="false" ht="14.05" hidden="false" customHeight="false" outlineLevel="0" collapsed="false">
      <c r="G60" s="55"/>
      <c r="H60" s="248"/>
      <c r="I60" s="248"/>
      <c r="J60" s="248"/>
      <c r="K60" s="248"/>
      <c r="L60" s="248"/>
      <c r="M60" s="248"/>
      <c r="N60" s="248"/>
      <c r="O60" s="250"/>
      <c r="P60" s="55"/>
    </row>
    <row r="61" customFormat="false" ht="14.05" hidden="false" customHeight="false" outlineLevel="0" collapsed="false">
      <c r="G61" s="55"/>
      <c r="H61" s="248"/>
      <c r="I61" s="248"/>
      <c r="J61" s="248"/>
      <c r="K61" s="248"/>
      <c r="L61" s="248"/>
      <c r="M61" s="248"/>
      <c r="N61" s="248"/>
      <c r="O61" s="248"/>
      <c r="P61" s="55"/>
    </row>
    <row r="62" customFormat="false" ht="14.05" hidden="false" customHeight="false" outlineLevel="0" collapsed="false">
      <c r="G62" s="55"/>
      <c r="H62" s="248"/>
      <c r="I62" s="248"/>
      <c r="J62" s="248"/>
      <c r="K62" s="248"/>
      <c r="L62" s="248"/>
      <c r="M62" s="248"/>
      <c r="N62" s="248"/>
      <c r="O62" s="248"/>
      <c r="P62" s="55"/>
    </row>
    <row r="63" customFormat="false" ht="14.05" hidden="false" customHeight="false" outlineLevel="0" collapsed="false">
      <c r="G63" s="55"/>
      <c r="H63" s="248"/>
      <c r="I63" s="251"/>
      <c r="J63" s="248"/>
      <c r="K63" s="248"/>
      <c r="L63" s="248"/>
      <c r="M63" s="248"/>
      <c r="N63" s="248"/>
      <c r="O63" s="191"/>
      <c r="P63" s="55"/>
    </row>
    <row r="64" customFormat="false" ht="14.05" hidden="false" customHeight="false" outlineLevel="0" collapsed="false">
      <c r="G64" s="55"/>
      <c r="H64" s="191"/>
      <c r="I64" s="191"/>
      <c r="J64" s="191"/>
      <c r="K64" s="191"/>
      <c r="L64" s="191"/>
      <c r="M64" s="191"/>
      <c r="N64" s="191"/>
      <c r="O64" s="191"/>
      <c r="P64" s="55"/>
    </row>
    <row r="65" customFormat="false" ht="14.05" hidden="false" customHeight="false" outlineLevel="0" collapsed="false">
      <c r="G65" s="55"/>
      <c r="H65" s="191"/>
      <c r="I65" s="191"/>
      <c r="J65" s="191"/>
      <c r="K65" s="191"/>
      <c r="L65" s="191"/>
      <c r="M65" s="191"/>
      <c r="N65" s="191"/>
      <c r="O65" s="191"/>
      <c r="P65" s="55"/>
    </row>
  </sheetData>
  <mergeCells count="7">
    <mergeCell ref="A3:I3"/>
    <mergeCell ref="A6:I6"/>
    <mergeCell ref="A9:E9"/>
    <mergeCell ref="J9:K9"/>
    <mergeCell ref="A10:E10"/>
    <mergeCell ref="A11:E11"/>
    <mergeCell ref="A12:E12"/>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sheetPr filterMode="false">
    <pageSetUpPr fitToPage="false"/>
  </sheetPr>
  <dimension ref="A1:L36"/>
  <sheetViews>
    <sheetView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4.05" zeroHeight="false" outlineLevelRow="0" outlineLevelCol="0"/>
  <cols>
    <col collapsed="false" customWidth="true" hidden="false" outlineLevel="0" max="1" min="1" style="1" width="16.08"/>
    <col collapsed="false" customWidth="true" hidden="false" outlineLevel="0" max="6" min="2" style="1" width="15.75"/>
    <col collapsed="false" customWidth="true" hidden="false" outlineLevel="0" max="7" min="7" style="1" width="5.58"/>
    <col collapsed="false" customWidth="true" hidden="false" outlineLevel="0" max="12" min="8" style="1" width="15.75"/>
    <col collapsed="false" customWidth="true" hidden="false" outlineLevel="0" max="1025" min="13" style="1" width="8.71"/>
  </cols>
  <sheetData>
    <row r="1" customFormat="false" ht="17.65" hidden="false" customHeight="false" outlineLevel="0" collapsed="false">
      <c r="A1" s="82" t="s">
        <v>150</v>
      </c>
    </row>
    <row r="2" customFormat="false" ht="14.05" hidden="false" customHeight="false" outlineLevel="0" collapsed="false">
      <c r="A2" s="22" t="s">
        <v>97</v>
      </c>
    </row>
    <row r="3" customFormat="false" ht="45.75" hidden="false" customHeight="true" outlineLevel="0" collapsed="false">
      <c r="A3" s="18" t="s">
        <v>151</v>
      </c>
      <c r="B3" s="18"/>
      <c r="C3" s="18"/>
      <c r="D3" s="18"/>
      <c r="E3" s="18"/>
      <c r="F3" s="18"/>
      <c r="G3" s="132"/>
      <c r="H3" s="132"/>
      <c r="I3" s="132"/>
      <c r="J3" s="132"/>
      <c r="K3" s="132"/>
    </row>
    <row r="4" customFormat="false" ht="14.05" hidden="false" customHeight="false" outlineLevel="0" collapsed="false">
      <c r="A4" s="22"/>
    </row>
    <row r="5" customFormat="false" ht="14.05" hidden="false" customHeight="false" outlineLevel="0" collapsed="false">
      <c r="A5" s="22" t="s">
        <v>8</v>
      </c>
      <c r="B5" s="22"/>
    </row>
    <row r="6" customFormat="false" ht="14.05" hidden="false" customHeight="false" outlineLevel="0" collapsed="false">
      <c r="A6" s="1" t="s">
        <v>152</v>
      </c>
    </row>
    <row r="7" customFormat="false" ht="14.05" hidden="false" customHeight="false" outlineLevel="0" collapsed="false">
      <c r="A7" s="1" t="s">
        <v>153</v>
      </c>
    </row>
    <row r="8" customFormat="false" ht="14.4" hidden="false" customHeight="true" outlineLevel="0" collapsed="false">
      <c r="A8" s="3" t="s">
        <v>67</v>
      </c>
      <c r="B8" s="3"/>
      <c r="C8" s="3"/>
      <c r="D8" s="3"/>
      <c r="E8" s="3"/>
    </row>
    <row r="10" customFormat="false" ht="14.05" hidden="false" customHeight="false" outlineLevel="0" collapsed="false">
      <c r="A10" s="11"/>
      <c r="B10" s="11"/>
      <c r="E10" s="252" t="str">
        <f aca="false">HLOOKUP('Main calculation'!$B$17,'Monetary Values'!$D$4:$G$74,67,0)</f>
        <v>EURg/km</v>
      </c>
    </row>
    <row r="11" customFormat="false" ht="14.05" hidden="false" customHeight="false" outlineLevel="0" collapsed="false">
      <c r="A11" s="30" t="s">
        <v>154</v>
      </c>
      <c r="B11" s="30"/>
      <c r="C11" s="30"/>
      <c r="D11" s="30"/>
      <c r="E11" s="253" t="n">
        <f aca="false">HLOOKUP('Main calculation'!$B$17,'Monetary Values'!$D$4:$G$74,71,0)</f>
        <v>0.0781012726073377</v>
      </c>
    </row>
    <row r="12" customFormat="false" ht="14.05" hidden="false" customHeight="false" outlineLevel="0" collapsed="false">
      <c r="A12" s="30" t="s">
        <v>155</v>
      </c>
      <c r="B12" s="30"/>
      <c r="C12" s="30"/>
      <c r="D12" s="30"/>
      <c r="E12" s="253" t="n">
        <f aca="false">HLOOKUP('Main calculation'!$B$17,'Monetary Values'!$D$4:$G$74,65,0)</f>
        <v>0.161361451029904</v>
      </c>
    </row>
    <row r="14" customFormat="false" ht="17.65" hidden="false" customHeight="false" outlineLevel="0" collapsed="false">
      <c r="B14" s="37" t="s">
        <v>27</v>
      </c>
      <c r="C14" s="37"/>
      <c r="D14" s="203"/>
      <c r="E14" s="203"/>
      <c r="F14" s="203"/>
      <c r="G14" s="39"/>
      <c r="H14" s="40" t="s">
        <v>28</v>
      </c>
      <c r="I14" s="40"/>
      <c r="J14" s="41"/>
      <c r="K14" s="41"/>
      <c r="L14" s="41"/>
    </row>
    <row r="15" customFormat="false" ht="68.65" hidden="false" customHeight="false" outlineLevel="0" collapsed="false">
      <c r="B15" s="57" t="s">
        <v>30</v>
      </c>
      <c r="C15" s="187" t="s">
        <v>142</v>
      </c>
      <c r="D15" s="187" t="s">
        <v>156</v>
      </c>
      <c r="E15" s="187" t="s">
        <v>24</v>
      </c>
      <c r="F15" s="187" t="s">
        <v>157</v>
      </c>
      <c r="G15" s="51"/>
      <c r="H15" s="57" t="s">
        <v>30</v>
      </c>
      <c r="I15" s="187" t="s">
        <v>142</v>
      </c>
      <c r="J15" s="187" t="s">
        <v>156</v>
      </c>
      <c r="K15" s="187" t="s">
        <v>24</v>
      </c>
      <c r="L15" s="187" t="s">
        <v>157</v>
      </c>
    </row>
    <row r="16" customFormat="false" ht="14.05" hidden="false" customHeight="false" outlineLevel="0" collapsed="false">
      <c r="A16" s="56" t="str">
        <f aca="false">IF('Main calculation'!$B$19=2013, "Starting year --&gt;","" )</f>
        <v/>
      </c>
      <c r="B16" s="57" t="n">
        <f aca="false">'Main calculation'!C26</f>
        <v>2013</v>
      </c>
      <c r="C16" s="254"/>
      <c r="D16" s="159"/>
      <c r="E16" s="57" t="n">
        <f aca="false">'Main calculation'!$B$21</f>
        <v>300</v>
      </c>
      <c r="F16" s="205" t="n">
        <f aca="false">($E$11*D16*E16)+$E$12*C16</f>
        <v>0</v>
      </c>
      <c r="G16" s="51"/>
      <c r="H16" s="57" t="n">
        <f aca="false">'Main calculation'!C26</f>
        <v>2013</v>
      </c>
      <c r="I16" s="254"/>
      <c r="J16" s="159"/>
      <c r="K16" s="57" t="n">
        <f aca="false">E16</f>
        <v>300</v>
      </c>
      <c r="L16" s="205" t="n">
        <f aca="false">($E$11*J16)*K16+$E$12*I16</f>
        <v>0</v>
      </c>
    </row>
    <row r="17" customFormat="false" ht="14.05" hidden="false" customHeight="false" outlineLevel="0" collapsed="false">
      <c r="A17" s="56" t="str">
        <f aca="false">IF('Main calculation'!$B$19=2014, "Starting year --&gt;","" )</f>
        <v>Starting year --&gt;</v>
      </c>
      <c r="B17" s="57" t="n">
        <f aca="false">'Main calculation'!C27</f>
        <v>2014</v>
      </c>
      <c r="C17" s="254"/>
      <c r="D17" s="159"/>
      <c r="E17" s="57" t="n">
        <f aca="false">'Main calculation'!$B$21</f>
        <v>300</v>
      </c>
      <c r="F17" s="205" t="n">
        <f aca="false">($E$11*D17)*E17+$E$12*C17</f>
        <v>0</v>
      </c>
      <c r="G17" s="51"/>
      <c r="H17" s="57" t="n">
        <f aca="false">'Main calculation'!C27</f>
        <v>2014</v>
      </c>
      <c r="I17" s="254"/>
      <c r="J17" s="159"/>
      <c r="K17" s="57" t="n">
        <f aca="false">E17</f>
        <v>300</v>
      </c>
      <c r="L17" s="205" t="n">
        <f aca="false">($E$11*J17)*K17+$E$12*I17</f>
        <v>0</v>
      </c>
    </row>
    <row r="18" customFormat="false" ht="14.05" hidden="false" customHeight="false" outlineLevel="0" collapsed="false">
      <c r="A18" s="56" t="str">
        <f aca="false">IF('Main calculation'!$B$19=2015, "Starting year --&gt;","" )</f>
        <v/>
      </c>
      <c r="B18" s="57" t="n">
        <f aca="false">'Main calculation'!C28</f>
        <v>2015</v>
      </c>
      <c r="C18" s="254"/>
      <c r="D18" s="159"/>
      <c r="E18" s="57" t="n">
        <f aca="false">'Main calculation'!$B$21</f>
        <v>300</v>
      </c>
      <c r="F18" s="205" t="n">
        <f aca="false">($E$11*D18)*E18+$E$12*C18</f>
        <v>0</v>
      </c>
      <c r="G18" s="51"/>
      <c r="H18" s="57" t="n">
        <f aca="false">'Main calculation'!C28</f>
        <v>2015</v>
      </c>
      <c r="I18" s="254"/>
      <c r="J18" s="159"/>
      <c r="K18" s="57" t="n">
        <f aca="false">E18</f>
        <v>300</v>
      </c>
      <c r="L18" s="205" t="n">
        <f aca="false">($E$11*J18)*K18+$E$12*I18</f>
        <v>0</v>
      </c>
    </row>
    <row r="19" customFormat="false" ht="14.05" hidden="false" customHeight="false" outlineLevel="0" collapsed="false">
      <c r="A19" s="56" t="str">
        <f aca="false">IF('Main calculation'!$B$19=2016, "Starting year --&gt;","" )</f>
        <v/>
      </c>
      <c r="B19" s="57" t="n">
        <f aca="false">'Main calculation'!C29</f>
        <v>2016</v>
      </c>
      <c r="C19" s="254"/>
      <c r="D19" s="159"/>
      <c r="E19" s="57" t="n">
        <f aca="false">'Main calculation'!$B$21</f>
        <v>300</v>
      </c>
      <c r="F19" s="205" t="n">
        <f aca="false">($E$11*D19)*E19+$E$12*C19</f>
        <v>0</v>
      </c>
      <c r="G19" s="51"/>
      <c r="H19" s="57" t="n">
        <f aca="false">'Main calculation'!C29</f>
        <v>2016</v>
      </c>
      <c r="I19" s="254"/>
      <c r="J19" s="159"/>
      <c r="K19" s="57" t="n">
        <f aca="false">E19</f>
        <v>300</v>
      </c>
      <c r="L19" s="205" t="n">
        <f aca="false">($E$11*J19)*K19+$E$12*I19</f>
        <v>0</v>
      </c>
    </row>
    <row r="20" customFormat="false" ht="14.05" hidden="false" customHeight="false" outlineLevel="0" collapsed="false">
      <c r="A20" s="56" t="str">
        <f aca="false">IF('Main calculation'!$B$19=2017, "Starting year --&gt;","" )</f>
        <v/>
      </c>
      <c r="B20" s="57" t="n">
        <f aca="false">'Main calculation'!C30</f>
        <v>2017</v>
      </c>
      <c r="C20" s="254"/>
      <c r="D20" s="159"/>
      <c r="E20" s="57" t="n">
        <f aca="false">'Main calculation'!$B$21</f>
        <v>300</v>
      </c>
      <c r="F20" s="205" t="n">
        <f aca="false">($E$11*D20)*E20+$E$12*C20</f>
        <v>0</v>
      </c>
      <c r="G20" s="51"/>
      <c r="H20" s="57" t="n">
        <f aca="false">'Main calculation'!C30</f>
        <v>2017</v>
      </c>
      <c r="I20" s="254"/>
      <c r="J20" s="159"/>
      <c r="K20" s="57" t="n">
        <f aca="false">E20</f>
        <v>300</v>
      </c>
      <c r="L20" s="205" t="n">
        <f aca="false">($E$11*J20)*K20+$E$12*I20</f>
        <v>0</v>
      </c>
    </row>
    <row r="21" customFormat="false" ht="14.05" hidden="false" customHeight="false" outlineLevel="0" collapsed="false">
      <c r="A21" s="56" t="str">
        <f aca="false">IF('Main calculation'!$B$19=2018, "Starting year --&gt;","" )</f>
        <v/>
      </c>
      <c r="B21" s="57" t="n">
        <f aca="false">'Main calculation'!C31</f>
        <v>2018</v>
      </c>
      <c r="C21" s="254"/>
      <c r="D21" s="159"/>
      <c r="E21" s="57" t="n">
        <f aca="false">'Main calculation'!$B$21</f>
        <v>300</v>
      </c>
      <c r="F21" s="205" t="n">
        <f aca="false">($E$11*D21)*E21+$E$12*C21</f>
        <v>0</v>
      </c>
      <c r="G21" s="51"/>
      <c r="H21" s="57" t="n">
        <f aca="false">'Main calculation'!C31</f>
        <v>2018</v>
      </c>
      <c r="I21" s="254"/>
      <c r="J21" s="159"/>
      <c r="K21" s="57" t="n">
        <f aca="false">E21</f>
        <v>300</v>
      </c>
      <c r="L21" s="205" t="n">
        <f aca="false">($E$11*J21)*K21+$E$12*I21</f>
        <v>0</v>
      </c>
    </row>
    <row r="22" customFormat="false" ht="14.05" hidden="false" customHeight="false" outlineLevel="0" collapsed="false">
      <c r="A22" s="56" t="str">
        <f aca="false">IF('Main calculation'!$B$19=2019, "Starting year --&gt;","" )</f>
        <v/>
      </c>
      <c r="B22" s="57" t="n">
        <f aca="false">'Main calculation'!C32</f>
        <v>2019</v>
      </c>
      <c r="C22" s="254"/>
      <c r="D22" s="159"/>
      <c r="E22" s="57" t="n">
        <f aca="false">'Main calculation'!$B$21</f>
        <v>300</v>
      </c>
      <c r="F22" s="205" t="n">
        <f aca="false">($E$11*D22)*E22+$E$12*C22</f>
        <v>0</v>
      </c>
      <c r="G22" s="51"/>
      <c r="H22" s="57" t="n">
        <f aca="false">'Main calculation'!C32</f>
        <v>2019</v>
      </c>
      <c r="I22" s="254"/>
      <c r="J22" s="159"/>
      <c r="K22" s="57" t="n">
        <f aca="false">E22</f>
        <v>300</v>
      </c>
      <c r="L22" s="205" t="n">
        <f aca="false">($E$11*J22)*K22+$E$12*I22</f>
        <v>0</v>
      </c>
    </row>
    <row r="23" customFormat="false" ht="14.05" hidden="false" customHeight="false" outlineLevel="0" collapsed="false">
      <c r="A23" s="56" t="str">
        <f aca="false">IF('Main calculation'!$B$19=2020, "Starting year --&gt;","" )</f>
        <v/>
      </c>
      <c r="B23" s="57" t="n">
        <f aca="false">'Main calculation'!C33</f>
        <v>2020</v>
      </c>
      <c r="C23" s="254"/>
      <c r="D23" s="159"/>
      <c r="E23" s="57" t="n">
        <f aca="false">'Main calculation'!$B$21</f>
        <v>300</v>
      </c>
      <c r="F23" s="205" t="n">
        <f aca="false">($E$11*D23)*E23+$E$12*C23</f>
        <v>0</v>
      </c>
      <c r="G23" s="51"/>
      <c r="H23" s="57" t="n">
        <f aca="false">'Main calculation'!C33</f>
        <v>2020</v>
      </c>
      <c r="I23" s="254"/>
      <c r="J23" s="159"/>
      <c r="K23" s="57" t="n">
        <f aca="false">E23</f>
        <v>300</v>
      </c>
      <c r="L23" s="205" t="n">
        <f aca="false">($E$11*J23)*K23+$E$12*I23</f>
        <v>0</v>
      </c>
    </row>
    <row r="24" customFormat="false" ht="14.05" hidden="false" customHeight="false" outlineLevel="0" collapsed="false">
      <c r="A24" s="56" t="str">
        <f aca="false">IF('Main calculation'!$B$19=2021, "Starting year --&gt;","" )</f>
        <v/>
      </c>
      <c r="B24" s="57" t="n">
        <f aca="false">'Main calculation'!C34</f>
        <v>2021</v>
      </c>
      <c r="C24" s="254"/>
      <c r="D24" s="159"/>
      <c r="E24" s="57" t="n">
        <f aca="false">'Main calculation'!$B$21</f>
        <v>300</v>
      </c>
      <c r="F24" s="205" t="n">
        <f aca="false">($E$11*D24)*E24+$E$12*C24</f>
        <v>0</v>
      </c>
      <c r="G24" s="51"/>
      <c r="H24" s="57" t="n">
        <f aca="false">'Main calculation'!C34</f>
        <v>2021</v>
      </c>
      <c r="I24" s="254"/>
      <c r="J24" s="159"/>
      <c r="K24" s="57" t="n">
        <f aca="false">E24</f>
        <v>300</v>
      </c>
      <c r="L24" s="205" t="n">
        <f aca="false">($E$11*J24)*K24+$E$12*I24</f>
        <v>0</v>
      </c>
    </row>
    <row r="25" customFormat="false" ht="14.05" hidden="false" customHeight="false" outlineLevel="0" collapsed="false">
      <c r="A25" s="56" t="str">
        <f aca="false">IF('Main calculation'!$B$19=2022, "Starting year --&gt;","" )</f>
        <v/>
      </c>
      <c r="B25" s="57" t="n">
        <f aca="false">'Main calculation'!C35</f>
        <v>2022</v>
      </c>
      <c r="C25" s="254"/>
      <c r="D25" s="159"/>
      <c r="E25" s="57" t="n">
        <f aca="false">'Main calculation'!$B$21</f>
        <v>300</v>
      </c>
      <c r="F25" s="205" t="n">
        <f aca="false">($E$11*D25)*E25+$E$12*C25</f>
        <v>0</v>
      </c>
      <c r="G25" s="51"/>
      <c r="H25" s="57" t="n">
        <f aca="false">'Main calculation'!C35</f>
        <v>2022</v>
      </c>
      <c r="I25" s="254"/>
      <c r="J25" s="159"/>
      <c r="K25" s="57" t="n">
        <f aca="false">E25</f>
        <v>300</v>
      </c>
      <c r="L25" s="205" t="n">
        <f aca="false">($E$11*J25)*K25+$E$12*I25</f>
        <v>0</v>
      </c>
    </row>
    <row r="26" customFormat="false" ht="14.05" hidden="false" customHeight="false" outlineLevel="0" collapsed="false">
      <c r="A26" s="56" t="str">
        <f aca="false">IF('Main calculation'!$B$19=2023, "Starting year --&gt;","" )</f>
        <v/>
      </c>
      <c r="B26" s="57" t="n">
        <f aca="false">'Main calculation'!C36</f>
        <v>2023</v>
      </c>
      <c r="C26" s="254"/>
      <c r="D26" s="159"/>
      <c r="E26" s="57" t="n">
        <f aca="false">'Main calculation'!$B$21</f>
        <v>300</v>
      </c>
      <c r="F26" s="205" t="n">
        <f aca="false">($E$11*D26)*E26+$E$12*C26</f>
        <v>0</v>
      </c>
      <c r="G26" s="51"/>
      <c r="H26" s="57" t="n">
        <f aca="false">'Main calculation'!C36</f>
        <v>2023</v>
      </c>
      <c r="I26" s="254"/>
      <c r="J26" s="159"/>
      <c r="K26" s="57" t="n">
        <f aca="false">E26</f>
        <v>300</v>
      </c>
      <c r="L26" s="205" t="n">
        <f aca="false">($E$11*J26)*K26+$E$12*I26</f>
        <v>0</v>
      </c>
    </row>
    <row r="27" customFormat="false" ht="14.05" hidden="false" customHeight="false" outlineLevel="0" collapsed="false">
      <c r="A27" s="56" t="str">
        <f aca="false">IF('Main calculation'!$B$19=2024, "Starting year --&gt;","" )</f>
        <v/>
      </c>
      <c r="B27" s="57" t="n">
        <f aca="false">'Main calculation'!C37</f>
        <v>2024</v>
      </c>
      <c r="C27" s="254"/>
      <c r="D27" s="159"/>
      <c r="E27" s="57" t="n">
        <f aca="false">'Main calculation'!$B$21</f>
        <v>300</v>
      </c>
      <c r="F27" s="205" t="n">
        <f aca="false">($E$11*D27)*E27+$E$12*C27</f>
        <v>0</v>
      </c>
      <c r="G27" s="51"/>
      <c r="H27" s="57" t="n">
        <f aca="false">'Main calculation'!C37</f>
        <v>2024</v>
      </c>
      <c r="I27" s="254"/>
      <c r="J27" s="159"/>
      <c r="K27" s="57" t="n">
        <f aca="false">E27</f>
        <v>300</v>
      </c>
      <c r="L27" s="205" t="n">
        <f aca="false">($E$11*J27)*K27+$E$12*I27</f>
        <v>0</v>
      </c>
    </row>
    <row r="28" customFormat="false" ht="14.05" hidden="false" customHeight="false" outlineLevel="0" collapsed="false">
      <c r="A28" s="56" t="str">
        <f aca="false">IF('Main calculation'!$B$19=2025, "Starting year --&gt;","" )</f>
        <v/>
      </c>
      <c r="B28" s="57" t="n">
        <f aca="false">'Main calculation'!C38</f>
        <v>2025</v>
      </c>
      <c r="C28" s="254"/>
      <c r="D28" s="159"/>
      <c r="E28" s="57" t="n">
        <f aca="false">'Main calculation'!$B$21</f>
        <v>300</v>
      </c>
      <c r="F28" s="205" t="n">
        <f aca="false">($E$11*D28)*E28+$E$12*C28</f>
        <v>0</v>
      </c>
      <c r="G28" s="51"/>
      <c r="H28" s="57" t="n">
        <f aca="false">'Main calculation'!C38</f>
        <v>2025</v>
      </c>
      <c r="I28" s="254"/>
      <c r="J28" s="159"/>
      <c r="K28" s="57" t="n">
        <f aca="false">E28</f>
        <v>300</v>
      </c>
      <c r="L28" s="205" t="n">
        <f aca="false">($E$11*J28)*K28+$E$12*I28</f>
        <v>0</v>
      </c>
    </row>
    <row r="29" customFormat="false" ht="14.05" hidden="false" customHeight="false" outlineLevel="0" collapsed="false">
      <c r="A29" s="56" t="str">
        <f aca="false">IF('Main calculation'!$B$19=2026, "Starting year --&gt;","" )</f>
        <v/>
      </c>
      <c r="B29" s="57" t="n">
        <f aca="false">'Main calculation'!C39</f>
        <v>2026</v>
      </c>
      <c r="C29" s="254"/>
      <c r="D29" s="159"/>
      <c r="E29" s="57" t="n">
        <f aca="false">'Main calculation'!$B$21</f>
        <v>300</v>
      </c>
      <c r="F29" s="205" t="n">
        <f aca="false">($E$11*D29)*E29+$E$12*C29</f>
        <v>0</v>
      </c>
      <c r="G29" s="51"/>
      <c r="H29" s="57" t="n">
        <f aca="false">'Main calculation'!C39</f>
        <v>2026</v>
      </c>
      <c r="I29" s="254"/>
      <c r="J29" s="159"/>
      <c r="K29" s="57" t="n">
        <f aca="false">E29</f>
        <v>300</v>
      </c>
      <c r="L29" s="205" t="n">
        <f aca="false">($E$11*J29)*K29+$E$12*I29</f>
        <v>0</v>
      </c>
    </row>
    <row r="30" customFormat="false" ht="14.05" hidden="false" customHeight="false" outlineLevel="0" collapsed="false">
      <c r="A30" s="56" t="str">
        <f aca="false">IF('Main calculation'!$B$19=2027, "Starting year --&gt;","" )</f>
        <v/>
      </c>
      <c r="B30" s="57" t="n">
        <f aca="false">'Main calculation'!C40</f>
        <v>2027</v>
      </c>
      <c r="C30" s="254"/>
      <c r="D30" s="159"/>
      <c r="E30" s="57" t="n">
        <f aca="false">'Main calculation'!$B$21</f>
        <v>300</v>
      </c>
      <c r="F30" s="205" t="n">
        <f aca="false">($E$11*D30)*E30+$E$12*C30</f>
        <v>0</v>
      </c>
      <c r="G30" s="51"/>
      <c r="H30" s="57" t="n">
        <f aca="false">'Main calculation'!C40</f>
        <v>2027</v>
      </c>
      <c r="I30" s="254"/>
      <c r="J30" s="159"/>
      <c r="K30" s="57" t="n">
        <f aca="false">E30</f>
        <v>300</v>
      </c>
      <c r="L30" s="205" t="n">
        <f aca="false">($E$11*J30)*K30+$E$12*I30</f>
        <v>0</v>
      </c>
    </row>
    <row r="31" customFormat="false" ht="14.05" hidden="false" customHeight="false" outlineLevel="0" collapsed="false">
      <c r="A31" s="56" t="str">
        <f aca="false">IF('Main calculation'!$B$20=2028, "Finishing year --&gt;","" )</f>
        <v>Finishing year --&gt;</v>
      </c>
      <c r="B31" s="57" t="n">
        <f aca="false">'Main calculation'!C41</f>
        <v>2028</v>
      </c>
      <c r="C31" s="254"/>
      <c r="D31" s="159"/>
      <c r="E31" s="57" t="n">
        <f aca="false">'Main calculation'!$B$21</f>
        <v>300</v>
      </c>
      <c r="F31" s="205" t="n">
        <f aca="false">($E$11*D31)*E31+$E$12*C31</f>
        <v>0</v>
      </c>
      <c r="G31" s="51"/>
      <c r="H31" s="57" t="n">
        <f aca="false">'Main calculation'!C41</f>
        <v>2028</v>
      </c>
      <c r="I31" s="254"/>
      <c r="J31" s="159"/>
      <c r="K31" s="57" t="n">
        <f aca="false">E31</f>
        <v>300</v>
      </c>
      <c r="L31" s="205" t="n">
        <f aca="false">($E$11*J31)*K31+$E$12*I31</f>
        <v>0</v>
      </c>
    </row>
    <row r="32" customFormat="false" ht="14.05" hidden="false" customHeight="false" outlineLevel="0" collapsed="false">
      <c r="A32" s="56" t="str">
        <f aca="false">IF('Main calculation'!$B$20=2029, "Finishing year --&gt;","" )</f>
        <v/>
      </c>
      <c r="B32" s="57" t="n">
        <f aca="false">'Main calculation'!C42</f>
        <v>2029</v>
      </c>
      <c r="C32" s="254"/>
      <c r="D32" s="159"/>
      <c r="E32" s="57" t="n">
        <f aca="false">'Main calculation'!$B$21</f>
        <v>300</v>
      </c>
      <c r="F32" s="205" t="n">
        <f aca="false">($E$11*D32)*E32+$E$12*C32</f>
        <v>0</v>
      </c>
      <c r="G32" s="51"/>
      <c r="H32" s="57" t="n">
        <f aca="false">'Main calculation'!C42</f>
        <v>2029</v>
      </c>
      <c r="I32" s="254"/>
      <c r="J32" s="159"/>
      <c r="K32" s="57" t="n">
        <f aca="false">E32</f>
        <v>300</v>
      </c>
      <c r="L32" s="205" t="n">
        <f aca="false">($E$11*J32)*K32+$E$12*I32</f>
        <v>0</v>
      </c>
    </row>
    <row r="33" customFormat="false" ht="14.05" hidden="false" customHeight="false" outlineLevel="0" collapsed="false">
      <c r="A33" s="56" t="str">
        <f aca="false">IF('Main calculation'!$B$20=2030, "Finishing year --&gt;","" )</f>
        <v/>
      </c>
      <c r="B33" s="57" t="n">
        <f aca="false">'Main calculation'!C43</f>
        <v>2030</v>
      </c>
      <c r="C33" s="254"/>
      <c r="D33" s="159"/>
      <c r="E33" s="57" t="n">
        <f aca="false">'Main calculation'!$B$21</f>
        <v>300</v>
      </c>
      <c r="F33" s="205" t="n">
        <f aca="false">($E$11*D33)*E33+$E$12*C33</f>
        <v>0</v>
      </c>
      <c r="G33" s="51"/>
      <c r="H33" s="57" t="n">
        <f aca="false">'Main calculation'!C43</f>
        <v>2030</v>
      </c>
      <c r="I33" s="254"/>
      <c r="J33" s="159"/>
      <c r="K33" s="57" t="n">
        <f aca="false">E33</f>
        <v>300</v>
      </c>
      <c r="L33" s="205" t="n">
        <f aca="false">($E$11*J33)*K33+$E$12*I33</f>
        <v>0</v>
      </c>
    </row>
    <row r="34" customFormat="false" ht="14.05" hidden="false" customHeight="false" outlineLevel="0" collapsed="false">
      <c r="A34" s="56" t="str">
        <f aca="false">IF('Main calculation'!$B$20=2031, "Finishing year --&gt;","" )</f>
        <v/>
      </c>
    </row>
    <row r="35" customFormat="false" ht="14.05" hidden="false" customHeight="false" outlineLevel="0" collapsed="false">
      <c r="A35" s="56" t="str">
        <f aca="false">IF('Main calculation'!$B$20=2032, "Finishing year --&gt;","" )</f>
        <v/>
      </c>
      <c r="E35" s="255"/>
    </row>
    <row r="36" customFormat="false" ht="14.05" hidden="false" customHeight="false" outlineLevel="0" collapsed="false">
      <c r="A36" s="56" t="str">
        <f aca="false">IF('Main calculation'!$B$20=2033, "Finishing year --&gt;","" )</f>
        <v/>
      </c>
    </row>
  </sheetData>
  <mergeCells count="2">
    <mergeCell ref="A3:F3"/>
    <mergeCell ref="A8:E8"/>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sheetPr filterMode="false">
    <pageSetUpPr fitToPage="false"/>
  </sheetPr>
  <dimension ref="A1:J33"/>
  <sheetViews>
    <sheetView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4.05" zeroHeight="false" outlineLevelRow="0" outlineLevelCol="0"/>
  <cols>
    <col collapsed="false" customWidth="true" hidden="false" outlineLevel="0" max="1" min="1" style="1" width="16.08"/>
    <col collapsed="false" customWidth="true" hidden="false" outlineLevel="0" max="10" min="2" style="1" width="15.75"/>
    <col collapsed="false" customWidth="true" hidden="false" outlineLevel="0" max="1025" min="11" style="1" width="8.71"/>
  </cols>
  <sheetData>
    <row r="1" customFormat="false" ht="17.65" hidden="false" customHeight="false" outlineLevel="0" collapsed="false">
      <c r="A1" s="82" t="s">
        <v>158</v>
      </c>
    </row>
    <row r="2" customFormat="false" ht="14.05" hidden="false" customHeight="false" outlineLevel="0" collapsed="false">
      <c r="A2" s="22" t="s">
        <v>97</v>
      </c>
    </row>
    <row r="3" customFormat="false" ht="30" hidden="false" customHeight="true" outlineLevel="0" collapsed="false">
      <c r="A3" s="3" t="s">
        <v>159</v>
      </c>
      <c r="B3" s="3"/>
      <c r="C3" s="3"/>
      <c r="D3" s="3"/>
      <c r="E3" s="3"/>
      <c r="F3" s="3"/>
      <c r="G3" s="3"/>
      <c r="H3" s="3"/>
      <c r="I3" s="3"/>
    </row>
    <row r="5" customFormat="false" ht="14.05" hidden="false" customHeight="false" outlineLevel="0" collapsed="false">
      <c r="A5" s="22" t="s">
        <v>8</v>
      </c>
    </row>
    <row r="6" customFormat="false" ht="14.05" hidden="false" customHeight="false" outlineLevel="0" collapsed="false">
      <c r="A6" s="1" t="s">
        <v>160</v>
      </c>
      <c r="C6" s="256"/>
    </row>
    <row r="7" customFormat="false" ht="15" hidden="false" customHeight="true" outlineLevel="0" collapsed="false">
      <c r="A7" s="46" t="s">
        <v>67</v>
      </c>
      <c r="B7" s="46"/>
      <c r="C7" s="46"/>
      <c r="D7" s="46"/>
      <c r="E7" s="46"/>
    </row>
    <row r="8" customFormat="false" ht="14.05" hidden="false" customHeight="false" outlineLevel="0" collapsed="false">
      <c r="C8" s="256"/>
    </row>
    <row r="9" customFormat="false" ht="14.05" hidden="false" customHeight="false" outlineLevel="0" collapsed="false">
      <c r="A9" s="30" t="s">
        <v>161</v>
      </c>
      <c r="B9" s="30"/>
      <c r="C9" s="30"/>
      <c r="D9" s="257" t="n">
        <f aca="false">HLOOKUP('Main calculation'!$B$17,'Monetary Values'!$D$4:$G$72,69,0)</f>
        <v>0.00528138528140218</v>
      </c>
    </row>
    <row r="10" customFormat="false" ht="14.05" hidden="false" customHeight="false" outlineLevel="0" collapsed="false">
      <c r="A10" s="29"/>
      <c r="B10" s="258"/>
    </row>
    <row r="11" customFormat="false" ht="17.65" hidden="false" customHeight="false" outlineLevel="0" collapsed="false">
      <c r="B11" s="37" t="s">
        <v>27</v>
      </c>
      <c r="C11" s="203"/>
      <c r="D11" s="203"/>
      <c r="E11" s="203"/>
      <c r="F11" s="39"/>
      <c r="G11" s="40" t="s">
        <v>28</v>
      </c>
      <c r="H11" s="41"/>
      <c r="I11" s="41"/>
      <c r="J11" s="41"/>
    </row>
    <row r="12" customFormat="false" ht="68.65" hidden="false" customHeight="false" outlineLevel="0" collapsed="false">
      <c r="B12" s="57" t="s">
        <v>30</v>
      </c>
      <c r="C12" s="187" t="s">
        <v>162</v>
      </c>
      <c r="D12" s="187" t="s">
        <v>24</v>
      </c>
      <c r="E12" s="187" t="s">
        <v>163</v>
      </c>
      <c r="F12" s="51"/>
      <c r="G12" s="57" t="s">
        <v>30</v>
      </c>
      <c r="H12" s="187" t="s">
        <v>162</v>
      </c>
      <c r="I12" s="187" t="s">
        <v>24</v>
      </c>
      <c r="J12" s="187" t="s">
        <v>163</v>
      </c>
    </row>
    <row r="13" customFormat="false" ht="14.05" hidden="false" customHeight="false" outlineLevel="0" collapsed="false">
      <c r="A13" s="56" t="str">
        <f aca="false">IF('Main calculation'!$B$19=2013, "Starting year --&gt;","" )</f>
        <v/>
      </c>
      <c r="B13" s="57" t="n">
        <f aca="false">'Main calculation'!C26</f>
        <v>2013</v>
      </c>
      <c r="C13" s="159"/>
      <c r="D13" s="57" t="n">
        <f aca="false">'Main calculation'!$B$21</f>
        <v>300</v>
      </c>
      <c r="E13" s="205" t="n">
        <f aca="false">$D$9*C13*D13</f>
        <v>0</v>
      </c>
      <c r="F13" s="51"/>
      <c r="G13" s="57" t="n">
        <f aca="false">'Main calculation'!C26</f>
        <v>2013</v>
      </c>
      <c r="H13" s="159"/>
      <c r="I13" s="57" t="n">
        <f aca="false">D13</f>
        <v>300</v>
      </c>
      <c r="J13" s="205" t="n">
        <f aca="false">$D$9*H13*I13</f>
        <v>0</v>
      </c>
    </row>
    <row r="14" customFormat="false" ht="14.05" hidden="false" customHeight="false" outlineLevel="0" collapsed="false">
      <c r="A14" s="56" t="str">
        <f aca="false">IF('Main calculation'!$B$19=2014, "Starting year --&gt;","" )</f>
        <v>Starting year --&gt;</v>
      </c>
      <c r="B14" s="57" t="n">
        <f aca="false">'Main calculation'!C27</f>
        <v>2014</v>
      </c>
      <c r="C14" s="159" t="n">
        <v>5600</v>
      </c>
      <c r="D14" s="57" t="n">
        <f aca="false">'Main calculation'!$B$21</f>
        <v>300</v>
      </c>
      <c r="E14" s="205" t="n">
        <f aca="false">$D$9*C14*D14</f>
        <v>8872.72727275567</v>
      </c>
      <c r="F14" s="51"/>
      <c r="G14" s="57" t="n">
        <f aca="false">'Main calculation'!C27</f>
        <v>2014</v>
      </c>
      <c r="H14" s="159" t="n">
        <v>7000</v>
      </c>
      <c r="I14" s="57" t="n">
        <f aca="false">D14</f>
        <v>300</v>
      </c>
      <c r="J14" s="205" t="n">
        <f aca="false">$D$9*H14*I14</f>
        <v>11090.9090909446</v>
      </c>
    </row>
    <row r="15" customFormat="false" ht="14.05" hidden="false" customHeight="false" outlineLevel="0" collapsed="false">
      <c r="A15" s="56" t="str">
        <f aca="false">IF('Main calculation'!$B$19=2015, "Starting year --&gt;","" )</f>
        <v/>
      </c>
      <c r="B15" s="57" t="n">
        <f aca="false">'Main calculation'!C28</f>
        <v>2015</v>
      </c>
      <c r="C15" s="159" t="n">
        <v>5600</v>
      </c>
      <c r="D15" s="57" t="n">
        <f aca="false">'Main calculation'!$B$21</f>
        <v>300</v>
      </c>
      <c r="E15" s="205" t="n">
        <f aca="false">$D$9*C15*D15</f>
        <v>8872.72727275567</v>
      </c>
      <c r="F15" s="51"/>
      <c r="G15" s="57" t="n">
        <f aca="false">'Main calculation'!C28</f>
        <v>2015</v>
      </c>
      <c r="H15" s="159" t="n">
        <v>7000</v>
      </c>
      <c r="I15" s="57" t="n">
        <f aca="false">D15</f>
        <v>300</v>
      </c>
      <c r="J15" s="205" t="n">
        <f aca="false">$D$9*H15*I15</f>
        <v>11090.9090909446</v>
      </c>
    </row>
    <row r="16" customFormat="false" ht="14.05" hidden="false" customHeight="false" outlineLevel="0" collapsed="false">
      <c r="A16" s="56" t="str">
        <f aca="false">IF('Main calculation'!$B$19=2016, "Starting year --&gt;","" )</f>
        <v/>
      </c>
      <c r="B16" s="57" t="n">
        <f aca="false">'Main calculation'!C29</f>
        <v>2016</v>
      </c>
      <c r="C16" s="159" t="n">
        <v>5600</v>
      </c>
      <c r="D16" s="57" t="n">
        <f aca="false">'Main calculation'!$B$21</f>
        <v>300</v>
      </c>
      <c r="E16" s="205" t="n">
        <f aca="false">$D$9*C16*D16</f>
        <v>8872.72727275567</v>
      </c>
      <c r="F16" s="51"/>
      <c r="G16" s="57" t="n">
        <f aca="false">'Main calculation'!C29</f>
        <v>2016</v>
      </c>
      <c r="H16" s="159" t="n">
        <v>7000</v>
      </c>
      <c r="I16" s="57" t="n">
        <f aca="false">D16</f>
        <v>300</v>
      </c>
      <c r="J16" s="205" t="n">
        <f aca="false">$D$9*H16*I16</f>
        <v>11090.9090909446</v>
      </c>
    </row>
    <row r="17" customFormat="false" ht="14.05" hidden="false" customHeight="false" outlineLevel="0" collapsed="false">
      <c r="A17" s="56" t="str">
        <f aca="false">IF('Main calculation'!$B$19=2017, "Starting year --&gt;","" )</f>
        <v/>
      </c>
      <c r="B17" s="57" t="n">
        <f aca="false">'Main calculation'!C30</f>
        <v>2017</v>
      </c>
      <c r="C17" s="159" t="n">
        <v>5600</v>
      </c>
      <c r="D17" s="57" t="n">
        <f aca="false">'Main calculation'!$B$21</f>
        <v>300</v>
      </c>
      <c r="E17" s="205" t="n">
        <f aca="false">$D$9*C17*D17</f>
        <v>8872.72727275567</v>
      </c>
      <c r="F17" s="51"/>
      <c r="G17" s="57" t="n">
        <f aca="false">'Main calculation'!C30</f>
        <v>2017</v>
      </c>
      <c r="H17" s="159" t="n">
        <v>7000</v>
      </c>
      <c r="I17" s="57" t="n">
        <f aca="false">D17</f>
        <v>300</v>
      </c>
      <c r="J17" s="205" t="n">
        <f aca="false">$D$9*H17*I17</f>
        <v>11090.9090909446</v>
      </c>
    </row>
    <row r="18" customFormat="false" ht="14.05" hidden="false" customHeight="false" outlineLevel="0" collapsed="false">
      <c r="A18" s="56" t="str">
        <f aca="false">IF('Main calculation'!$B$19=2018, "Starting year --&gt;","" )</f>
        <v/>
      </c>
      <c r="B18" s="57" t="n">
        <f aca="false">'Main calculation'!C31</f>
        <v>2018</v>
      </c>
      <c r="C18" s="159" t="n">
        <v>5600</v>
      </c>
      <c r="D18" s="57" t="n">
        <f aca="false">'Main calculation'!$B$21</f>
        <v>300</v>
      </c>
      <c r="E18" s="205" t="n">
        <f aca="false">$D$9*C18*D18</f>
        <v>8872.72727275567</v>
      </c>
      <c r="F18" s="51"/>
      <c r="G18" s="57" t="n">
        <f aca="false">'Main calculation'!C31</f>
        <v>2018</v>
      </c>
      <c r="H18" s="159" t="n">
        <v>7000</v>
      </c>
      <c r="I18" s="57" t="n">
        <f aca="false">D18</f>
        <v>300</v>
      </c>
      <c r="J18" s="205" t="n">
        <f aca="false">$D$9*H18*I18</f>
        <v>11090.9090909446</v>
      </c>
    </row>
    <row r="19" customFormat="false" ht="14.05" hidden="false" customHeight="false" outlineLevel="0" collapsed="false">
      <c r="A19" s="56" t="str">
        <f aca="false">IF('Main calculation'!$B$19=2019, "Starting year --&gt;","" )</f>
        <v/>
      </c>
      <c r="B19" s="57" t="n">
        <f aca="false">'Main calculation'!C32</f>
        <v>2019</v>
      </c>
      <c r="C19" s="159" t="n">
        <v>5600</v>
      </c>
      <c r="D19" s="57" t="n">
        <f aca="false">'Main calculation'!$B$21</f>
        <v>300</v>
      </c>
      <c r="E19" s="205" t="n">
        <f aca="false">$D$9*C19*D19</f>
        <v>8872.72727275567</v>
      </c>
      <c r="F19" s="51"/>
      <c r="G19" s="57" t="n">
        <f aca="false">'Main calculation'!C32</f>
        <v>2019</v>
      </c>
      <c r="H19" s="159" t="n">
        <v>7000</v>
      </c>
      <c r="I19" s="57" t="n">
        <f aca="false">D19</f>
        <v>300</v>
      </c>
      <c r="J19" s="205" t="n">
        <f aca="false">$D$9*H19*I19</f>
        <v>11090.9090909446</v>
      </c>
    </row>
    <row r="20" customFormat="false" ht="14.05" hidden="false" customHeight="false" outlineLevel="0" collapsed="false">
      <c r="A20" s="56" t="str">
        <f aca="false">IF('Main calculation'!$B$19=2020, "Starting year --&gt;","" )</f>
        <v/>
      </c>
      <c r="B20" s="57" t="n">
        <f aca="false">'Main calculation'!C33</f>
        <v>2020</v>
      </c>
      <c r="C20" s="159" t="n">
        <v>5600</v>
      </c>
      <c r="D20" s="57" t="n">
        <f aca="false">'Main calculation'!$B$21</f>
        <v>300</v>
      </c>
      <c r="E20" s="205" t="n">
        <f aca="false">$D$9*C20*D20</f>
        <v>8872.72727275567</v>
      </c>
      <c r="F20" s="51"/>
      <c r="G20" s="57" t="n">
        <f aca="false">'Main calculation'!C33</f>
        <v>2020</v>
      </c>
      <c r="H20" s="159" t="n">
        <v>7000</v>
      </c>
      <c r="I20" s="57" t="n">
        <f aca="false">D20</f>
        <v>300</v>
      </c>
      <c r="J20" s="205" t="n">
        <f aca="false">$D$9*H20*I20</f>
        <v>11090.9090909446</v>
      </c>
    </row>
    <row r="21" customFormat="false" ht="14.05" hidden="false" customHeight="false" outlineLevel="0" collapsed="false">
      <c r="A21" s="56" t="str">
        <f aca="false">IF('Main calculation'!$B$19=2021, "Starting year --&gt;","" )</f>
        <v/>
      </c>
      <c r="B21" s="57" t="n">
        <f aca="false">'Main calculation'!C34</f>
        <v>2021</v>
      </c>
      <c r="C21" s="159" t="n">
        <v>5600</v>
      </c>
      <c r="D21" s="57" t="n">
        <f aca="false">'Main calculation'!$B$21</f>
        <v>300</v>
      </c>
      <c r="E21" s="205" t="n">
        <f aca="false">$D$9*C21*D21</f>
        <v>8872.72727275567</v>
      </c>
      <c r="F21" s="51"/>
      <c r="G21" s="57" t="n">
        <f aca="false">'Main calculation'!C34</f>
        <v>2021</v>
      </c>
      <c r="H21" s="159" t="n">
        <v>7000</v>
      </c>
      <c r="I21" s="57" t="n">
        <f aca="false">D21</f>
        <v>300</v>
      </c>
      <c r="J21" s="205" t="n">
        <f aca="false">$D$9*H21*I21</f>
        <v>11090.9090909446</v>
      </c>
    </row>
    <row r="22" customFormat="false" ht="14.05" hidden="false" customHeight="false" outlineLevel="0" collapsed="false">
      <c r="A22" s="56" t="str">
        <f aca="false">IF('Main calculation'!$B$19=2022, "Starting year --&gt;","" )</f>
        <v/>
      </c>
      <c r="B22" s="57" t="n">
        <f aca="false">'Main calculation'!C35</f>
        <v>2022</v>
      </c>
      <c r="C22" s="159" t="n">
        <v>5600</v>
      </c>
      <c r="D22" s="57" t="n">
        <f aca="false">'Main calculation'!$B$21</f>
        <v>300</v>
      </c>
      <c r="E22" s="205" t="n">
        <f aca="false">$D$9*C22*D22</f>
        <v>8872.72727275567</v>
      </c>
      <c r="F22" s="51"/>
      <c r="G22" s="57" t="n">
        <f aca="false">'Main calculation'!C35</f>
        <v>2022</v>
      </c>
      <c r="H22" s="159" t="n">
        <v>7000</v>
      </c>
      <c r="I22" s="57" t="n">
        <f aca="false">D22</f>
        <v>300</v>
      </c>
      <c r="J22" s="205" t="n">
        <f aca="false">$D$9*H22*I22</f>
        <v>11090.9090909446</v>
      </c>
    </row>
    <row r="23" customFormat="false" ht="14.05" hidden="false" customHeight="false" outlineLevel="0" collapsed="false">
      <c r="A23" s="56" t="str">
        <f aca="false">IF('Main calculation'!$B$19=2023, "Starting year --&gt;","" )</f>
        <v/>
      </c>
      <c r="B23" s="57" t="n">
        <f aca="false">'Main calculation'!C36</f>
        <v>2023</v>
      </c>
      <c r="C23" s="159" t="n">
        <v>5600</v>
      </c>
      <c r="D23" s="57" t="n">
        <f aca="false">'Main calculation'!$B$21</f>
        <v>300</v>
      </c>
      <c r="E23" s="205" t="n">
        <f aca="false">$D$9*C23*D23</f>
        <v>8872.72727275567</v>
      </c>
      <c r="F23" s="51"/>
      <c r="G23" s="57" t="n">
        <f aca="false">'Main calculation'!C36</f>
        <v>2023</v>
      </c>
      <c r="H23" s="159" t="n">
        <v>7000</v>
      </c>
      <c r="I23" s="57" t="n">
        <f aca="false">D23</f>
        <v>300</v>
      </c>
      <c r="J23" s="205" t="n">
        <f aca="false">$D$9*H23*I23</f>
        <v>11090.9090909446</v>
      </c>
    </row>
    <row r="24" customFormat="false" ht="14.05" hidden="false" customHeight="false" outlineLevel="0" collapsed="false">
      <c r="A24" s="56" t="str">
        <f aca="false">IF('Main calculation'!$B$19=2024, "Starting year --&gt;","" )</f>
        <v/>
      </c>
      <c r="B24" s="57" t="n">
        <f aca="false">'Main calculation'!C37</f>
        <v>2024</v>
      </c>
      <c r="C24" s="159" t="n">
        <v>5600</v>
      </c>
      <c r="D24" s="57" t="n">
        <f aca="false">'Main calculation'!$B$21</f>
        <v>300</v>
      </c>
      <c r="E24" s="205" t="n">
        <f aca="false">$D$9*C24*D24</f>
        <v>8872.72727275567</v>
      </c>
      <c r="F24" s="51"/>
      <c r="G24" s="57" t="n">
        <f aca="false">'Main calculation'!C37</f>
        <v>2024</v>
      </c>
      <c r="H24" s="159" t="n">
        <v>7000</v>
      </c>
      <c r="I24" s="57" t="n">
        <f aca="false">D24</f>
        <v>300</v>
      </c>
      <c r="J24" s="205" t="n">
        <f aca="false">$D$9*H24*I24</f>
        <v>11090.9090909446</v>
      </c>
    </row>
    <row r="25" customFormat="false" ht="14.05" hidden="false" customHeight="false" outlineLevel="0" collapsed="false">
      <c r="A25" s="56" t="str">
        <f aca="false">IF('Main calculation'!$B$19=2025, "Starting year --&gt;","" )</f>
        <v/>
      </c>
      <c r="B25" s="57" t="n">
        <f aca="false">'Main calculation'!C38</f>
        <v>2025</v>
      </c>
      <c r="C25" s="159" t="n">
        <v>5600</v>
      </c>
      <c r="D25" s="57" t="n">
        <f aca="false">'Main calculation'!$B$21</f>
        <v>300</v>
      </c>
      <c r="E25" s="205" t="n">
        <f aca="false">$D$9*C25*D25</f>
        <v>8872.72727275567</v>
      </c>
      <c r="F25" s="51"/>
      <c r="G25" s="57" t="n">
        <f aca="false">'Main calculation'!C38</f>
        <v>2025</v>
      </c>
      <c r="H25" s="159" t="n">
        <v>7000</v>
      </c>
      <c r="I25" s="57" t="n">
        <f aca="false">D25</f>
        <v>300</v>
      </c>
      <c r="J25" s="205" t="n">
        <f aca="false">$D$9*H25*I25</f>
        <v>11090.9090909446</v>
      </c>
    </row>
    <row r="26" customFormat="false" ht="14.05" hidden="false" customHeight="false" outlineLevel="0" collapsed="false">
      <c r="A26" s="56" t="str">
        <f aca="false">IF('Main calculation'!$B$19=2026, "Starting year --&gt;","" )</f>
        <v/>
      </c>
      <c r="B26" s="57" t="n">
        <f aca="false">'Main calculation'!C39</f>
        <v>2026</v>
      </c>
      <c r="C26" s="159" t="n">
        <v>5600</v>
      </c>
      <c r="D26" s="57" t="n">
        <f aca="false">'Main calculation'!$B$21</f>
        <v>300</v>
      </c>
      <c r="E26" s="205" t="n">
        <f aca="false">$D$9*C26*D26</f>
        <v>8872.72727275567</v>
      </c>
      <c r="F26" s="51"/>
      <c r="G26" s="57" t="n">
        <f aca="false">'Main calculation'!C39</f>
        <v>2026</v>
      </c>
      <c r="H26" s="159" t="n">
        <v>7000</v>
      </c>
      <c r="I26" s="57" t="n">
        <f aca="false">D26</f>
        <v>300</v>
      </c>
      <c r="J26" s="205" t="n">
        <f aca="false">$D$9*H26*I26</f>
        <v>11090.9090909446</v>
      </c>
    </row>
    <row r="27" customFormat="false" ht="14.05" hidden="false" customHeight="false" outlineLevel="0" collapsed="false">
      <c r="A27" s="56" t="str">
        <f aca="false">IF('Main calculation'!$B$19=2027, "Starting year --&gt;","" )</f>
        <v/>
      </c>
      <c r="B27" s="57" t="n">
        <f aca="false">'Main calculation'!C40</f>
        <v>2027</v>
      </c>
      <c r="C27" s="159" t="n">
        <v>5600</v>
      </c>
      <c r="D27" s="57" t="n">
        <f aca="false">'Main calculation'!$B$21</f>
        <v>300</v>
      </c>
      <c r="E27" s="205" t="n">
        <f aca="false">$D$9*C27*D27</f>
        <v>8872.72727275567</v>
      </c>
      <c r="F27" s="51"/>
      <c r="G27" s="57" t="n">
        <f aca="false">'Main calculation'!C40</f>
        <v>2027</v>
      </c>
      <c r="H27" s="159" t="n">
        <v>7000</v>
      </c>
      <c r="I27" s="57" t="n">
        <f aca="false">D27</f>
        <v>300</v>
      </c>
      <c r="J27" s="205" t="n">
        <f aca="false">$D$9*H27*I27</f>
        <v>11090.9090909446</v>
      </c>
    </row>
    <row r="28" customFormat="false" ht="14.05" hidden="false" customHeight="false" outlineLevel="0" collapsed="false">
      <c r="A28" s="56" t="str">
        <f aca="false">IF('Main calculation'!$B$20=2028, "Finishing year --&gt;","" )</f>
        <v>Finishing year --&gt;</v>
      </c>
      <c r="B28" s="57" t="n">
        <f aca="false">'Main calculation'!C41</f>
        <v>2028</v>
      </c>
      <c r="C28" s="159" t="n">
        <v>5600</v>
      </c>
      <c r="D28" s="57" t="n">
        <f aca="false">'Main calculation'!$B$21</f>
        <v>300</v>
      </c>
      <c r="E28" s="205" t="n">
        <f aca="false">$D$9*C28*D28</f>
        <v>8872.72727275567</v>
      </c>
      <c r="F28" s="51"/>
      <c r="G28" s="57" t="n">
        <f aca="false">'Main calculation'!C41</f>
        <v>2028</v>
      </c>
      <c r="H28" s="159" t="n">
        <v>7000</v>
      </c>
      <c r="I28" s="57" t="n">
        <f aca="false">D28</f>
        <v>300</v>
      </c>
      <c r="J28" s="205" t="n">
        <f aca="false">$D$9*H28*I28</f>
        <v>11090.9090909446</v>
      </c>
    </row>
    <row r="29" customFormat="false" ht="14.05" hidden="false" customHeight="false" outlineLevel="0" collapsed="false">
      <c r="A29" s="56" t="str">
        <f aca="false">IF('Main calculation'!$B$20=2029, "Finishing year --&gt;","" )</f>
        <v/>
      </c>
      <c r="B29" s="57" t="n">
        <f aca="false">'Main calculation'!C42</f>
        <v>2029</v>
      </c>
      <c r="C29" s="159"/>
      <c r="D29" s="57" t="n">
        <f aca="false">'Main calculation'!$B$21</f>
        <v>300</v>
      </c>
      <c r="E29" s="205" t="n">
        <f aca="false">$D$9*C29*D29</f>
        <v>0</v>
      </c>
      <c r="F29" s="51"/>
      <c r="G29" s="57" t="n">
        <f aca="false">'Main calculation'!C42</f>
        <v>2029</v>
      </c>
      <c r="H29" s="159"/>
      <c r="I29" s="57" t="n">
        <f aca="false">D29</f>
        <v>300</v>
      </c>
      <c r="J29" s="205" t="n">
        <f aca="false">$D$9*H29*I29</f>
        <v>0</v>
      </c>
    </row>
    <row r="30" customFormat="false" ht="14.05" hidden="false" customHeight="false" outlineLevel="0" collapsed="false">
      <c r="A30" s="56" t="str">
        <f aca="false">IF('Main calculation'!$B$20=2030, "Finishing year --&gt;","" )</f>
        <v/>
      </c>
      <c r="B30" s="57" t="n">
        <f aca="false">'Main calculation'!C43</f>
        <v>2030</v>
      </c>
      <c r="C30" s="159"/>
      <c r="D30" s="57" t="n">
        <f aca="false">'Main calculation'!$B$21</f>
        <v>300</v>
      </c>
      <c r="E30" s="205" t="n">
        <f aca="false">$D$9*C30*D30</f>
        <v>0</v>
      </c>
      <c r="F30" s="51"/>
      <c r="G30" s="57" t="n">
        <f aca="false">'Main calculation'!C43</f>
        <v>2030</v>
      </c>
      <c r="H30" s="159"/>
      <c r="I30" s="57" t="n">
        <f aca="false">D30</f>
        <v>300</v>
      </c>
      <c r="J30" s="205" t="n">
        <f aca="false">$D$9*H30*I30</f>
        <v>0</v>
      </c>
    </row>
    <row r="31" customFormat="false" ht="14.05" hidden="false" customHeight="false" outlineLevel="0" collapsed="false">
      <c r="A31" s="56" t="str">
        <f aca="false">IF('Main calculation'!$B$20=2031, "Finishing year --&gt;","" )</f>
        <v/>
      </c>
    </row>
    <row r="32" customFormat="false" ht="14.05" hidden="false" customHeight="false" outlineLevel="0" collapsed="false">
      <c r="A32" s="56" t="str">
        <f aca="false">IF('Main calculation'!$B$20=2032, "Finishing year --&gt;","" )</f>
        <v/>
      </c>
    </row>
    <row r="33" customFormat="false" ht="14.05" hidden="false" customHeight="false" outlineLevel="0" collapsed="false">
      <c r="A33" s="56" t="str">
        <f aca="false">IF('Main calculation'!$B$20=2033, "Finishing year --&gt;","" )</f>
        <v/>
      </c>
    </row>
  </sheetData>
  <mergeCells count="1">
    <mergeCell ref="A3:I3"/>
  </mergeCell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sheetPr filterMode="false">
    <pageSetUpPr fitToPage="false"/>
  </sheetPr>
  <dimension ref="A1:L34"/>
  <sheetViews>
    <sheetView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4.05" zeroHeight="false" outlineLevelRow="0" outlineLevelCol="0"/>
  <cols>
    <col collapsed="false" customWidth="true" hidden="false" outlineLevel="0" max="1" min="1" style="1" width="16.08"/>
    <col collapsed="false" customWidth="true" hidden="false" outlineLevel="0" max="4" min="2" style="1" width="15.75"/>
    <col collapsed="false" customWidth="true" hidden="false" outlineLevel="0" max="5" min="5" style="1" width="5.58"/>
    <col collapsed="false" customWidth="true" hidden="false" outlineLevel="0" max="8" min="6" style="1" width="15.75"/>
    <col collapsed="false" customWidth="true" hidden="false" outlineLevel="0" max="1025" min="9" style="1" width="8.71"/>
  </cols>
  <sheetData>
    <row r="1" customFormat="false" ht="17.65" hidden="false" customHeight="false" outlineLevel="0" collapsed="false">
      <c r="A1" s="82" t="s">
        <v>164</v>
      </c>
    </row>
    <row r="2" s="83" customFormat="true" ht="14.05" hidden="false" customHeight="false" outlineLevel="0" collapsed="false">
      <c r="A2" s="22" t="s">
        <v>165</v>
      </c>
    </row>
    <row r="3" customFormat="false" ht="30" hidden="false" customHeight="true" outlineLevel="0" collapsed="false">
      <c r="A3" s="3" t="s">
        <v>166</v>
      </c>
      <c r="B3" s="3"/>
      <c r="C3" s="3"/>
      <c r="D3" s="3"/>
      <c r="E3" s="3"/>
      <c r="F3" s="3"/>
      <c r="G3" s="3"/>
      <c r="H3" s="3"/>
      <c r="I3" s="3"/>
    </row>
    <row r="4" customFormat="false" ht="14.05" hidden="false" customHeight="false" outlineLevel="0" collapsed="false">
      <c r="A4" s="21"/>
      <c r="B4" s="21"/>
      <c r="C4" s="21"/>
      <c r="D4" s="21"/>
      <c r="E4" s="21"/>
      <c r="F4" s="21"/>
      <c r="G4" s="21"/>
      <c r="H4" s="21"/>
      <c r="I4" s="21"/>
    </row>
    <row r="5" customFormat="false" ht="14.05" hidden="false" customHeight="false" outlineLevel="0" collapsed="false">
      <c r="A5" s="89" t="s">
        <v>167</v>
      </c>
      <c r="B5" s="21"/>
      <c r="C5" s="21"/>
      <c r="D5" s="21"/>
      <c r="E5" s="21"/>
      <c r="F5" s="21"/>
      <c r="G5" s="21"/>
      <c r="H5" s="21"/>
      <c r="I5" s="21"/>
    </row>
    <row r="6" customFormat="false" ht="14.05" hidden="false" customHeight="false" outlineLevel="0" collapsed="false">
      <c r="A6" s="199" t="s">
        <v>168</v>
      </c>
      <c r="B6" s="21"/>
      <c r="C6" s="21"/>
      <c r="D6" s="21"/>
      <c r="E6" s="21"/>
      <c r="F6" s="21"/>
      <c r="G6" s="21"/>
      <c r="H6" s="21"/>
      <c r="I6" s="21"/>
    </row>
    <row r="7" customFormat="false" ht="14.05" hidden="false" customHeight="false" outlineLevel="0" collapsed="false">
      <c r="A7" s="199" t="s">
        <v>169</v>
      </c>
      <c r="B7" s="21"/>
      <c r="C7" s="21"/>
      <c r="D7" s="21"/>
      <c r="E7" s="21"/>
      <c r="F7" s="21"/>
      <c r="G7" s="21"/>
      <c r="H7" s="21"/>
      <c r="I7" s="21"/>
    </row>
    <row r="8" customFormat="false" ht="15" hidden="false" customHeight="true" outlineLevel="0" collapsed="false">
      <c r="A8" s="46" t="s">
        <v>67</v>
      </c>
      <c r="B8" s="46"/>
      <c r="C8" s="46"/>
      <c r="D8" s="46"/>
      <c r="E8" s="46"/>
      <c r="F8" s="21"/>
      <c r="G8" s="21"/>
      <c r="H8" s="21"/>
      <c r="I8" s="21"/>
    </row>
    <row r="9" customFormat="false" ht="14.05" hidden="false" customHeight="false" outlineLevel="0" collapsed="false">
      <c r="A9" s="21"/>
      <c r="B9" s="21"/>
      <c r="C9" s="21"/>
      <c r="E9" s="21"/>
      <c r="F9" s="21"/>
    </row>
    <row r="10" customFormat="false" ht="14.05" hidden="false" customHeight="false" outlineLevel="0" collapsed="false">
      <c r="A10" s="30" t="s">
        <v>170</v>
      </c>
      <c r="B10" s="30"/>
      <c r="C10" s="30"/>
      <c r="D10" s="259" t="n">
        <f aca="false">HLOOKUP('Main calculation'!$B$17,'Monetary Values'!$D$4:$G$68,35,0)</f>
        <v>91103.8961041876</v>
      </c>
    </row>
    <row r="12" customFormat="false" ht="17.65" hidden="false" customHeight="false" outlineLevel="0" collapsed="false">
      <c r="B12" s="37" t="s">
        <v>27</v>
      </c>
      <c r="C12" s="203"/>
      <c r="D12" s="203"/>
      <c r="E12" s="39"/>
      <c r="F12" s="40" t="s">
        <v>28</v>
      </c>
      <c r="G12" s="41"/>
      <c r="H12" s="41"/>
    </row>
    <row r="13" customFormat="false" ht="41.75" hidden="false" customHeight="false" outlineLevel="0" collapsed="false">
      <c r="B13" s="57" t="s">
        <v>30</v>
      </c>
      <c r="C13" s="187" t="s">
        <v>171</v>
      </c>
      <c r="D13" s="187" t="s">
        <v>172</v>
      </c>
      <c r="E13" s="39"/>
      <c r="F13" s="57" t="s">
        <v>30</v>
      </c>
      <c r="G13" s="187" t="s">
        <v>171</v>
      </c>
      <c r="H13" s="187" t="s">
        <v>172</v>
      </c>
      <c r="I13" s="132"/>
    </row>
    <row r="14" customFormat="false" ht="14.05" hidden="false" customHeight="false" outlineLevel="0" collapsed="false">
      <c r="A14" s="56" t="str">
        <f aca="false">IF('Main calculation'!$B$19=2013, "Starting year --&gt;","" )</f>
        <v/>
      </c>
      <c r="B14" s="57" t="n">
        <f aca="false">'Main calculation'!C26</f>
        <v>2013</v>
      </c>
      <c r="C14" s="159"/>
      <c r="D14" s="260" t="n">
        <f aca="false">C14*$D$10</f>
        <v>0</v>
      </c>
      <c r="E14" s="261"/>
      <c r="F14" s="57" t="n">
        <f aca="false">'Main calculation'!C26</f>
        <v>2013</v>
      </c>
      <c r="G14" s="159"/>
      <c r="H14" s="260" t="n">
        <f aca="false">G14*$D$10</f>
        <v>0</v>
      </c>
      <c r="I14" s="132"/>
    </row>
    <row r="15" customFormat="false" ht="14.05" hidden="false" customHeight="false" outlineLevel="0" collapsed="false">
      <c r="A15" s="56" t="str">
        <f aca="false">IF('Main calculation'!$B$19=2014, "Starting year --&gt;","" )</f>
        <v>Starting year --&gt;</v>
      </c>
      <c r="B15" s="57" t="n">
        <f aca="false">'Main calculation'!C27</f>
        <v>2014</v>
      </c>
      <c r="C15" s="159" t="n">
        <v>4</v>
      </c>
      <c r="D15" s="260" t="n">
        <f aca="false">C15*$D$10</f>
        <v>364415.584416751</v>
      </c>
      <c r="E15" s="261"/>
      <c r="F15" s="57" t="n">
        <f aca="false">'Main calculation'!C27</f>
        <v>2014</v>
      </c>
      <c r="G15" s="159" t="n">
        <v>2</v>
      </c>
      <c r="H15" s="260" t="n">
        <f aca="false">G15*$D$10</f>
        <v>182207.792208375</v>
      </c>
      <c r="I15" s="132"/>
    </row>
    <row r="16" customFormat="false" ht="14.05" hidden="false" customHeight="false" outlineLevel="0" collapsed="false">
      <c r="A16" s="56" t="str">
        <f aca="false">IF('Main calculation'!$B$19=2015, "Starting year --&gt;","" )</f>
        <v/>
      </c>
      <c r="B16" s="57" t="n">
        <f aca="false">'Main calculation'!C28</f>
        <v>2015</v>
      </c>
      <c r="C16" s="159" t="n">
        <v>4</v>
      </c>
      <c r="D16" s="260" t="n">
        <f aca="false">C16*$D$10</f>
        <v>364415.584416751</v>
      </c>
      <c r="E16" s="261"/>
      <c r="F16" s="57" t="n">
        <f aca="false">'Main calculation'!C28</f>
        <v>2015</v>
      </c>
      <c r="G16" s="159" t="n">
        <v>2</v>
      </c>
      <c r="H16" s="260" t="n">
        <f aca="false">G16*$D$10</f>
        <v>182207.792208375</v>
      </c>
    </row>
    <row r="17" customFormat="false" ht="14.05" hidden="false" customHeight="false" outlineLevel="0" collapsed="false">
      <c r="A17" s="56" t="str">
        <f aca="false">IF('Main calculation'!$B$19=2016, "Starting year --&gt;","" )</f>
        <v/>
      </c>
      <c r="B17" s="57" t="n">
        <f aca="false">'Main calculation'!C29</f>
        <v>2016</v>
      </c>
      <c r="C17" s="159" t="n">
        <v>4</v>
      </c>
      <c r="D17" s="260" t="n">
        <f aca="false">C17*$D$10</f>
        <v>364415.584416751</v>
      </c>
      <c r="E17" s="261"/>
      <c r="F17" s="57" t="n">
        <f aca="false">'Main calculation'!C29</f>
        <v>2016</v>
      </c>
      <c r="G17" s="159" t="n">
        <v>2</v>
      </c>
      <c r="H17" s="260" t="n">
        <f aca="false">G17*$D$10</f>
        <v>182207.792208375</v>
      </c>
    </row>
    <row r="18" customFormat="false" ht="14.05" hidden="false" customHeight="false" outlineLevel="0" collapsed="false">
      <c r="A18" s="56" t="str">
        <f aca="false">IF('Main calculation'!$B$19=2017, "Starting year --&gt;","" )</f>
        <v/>
      </c>
      <c r="B18" s="57" t="n">
        <f aca="false">'Main calculation'!C30</f>
        <v>2017</v>
      </c>
      <c r="C18" s="159" t="n">
        <v>4</v>
      </c>
      <c r="D18" s="260" t="n">
        <f aca="false">C18*$D$10</f>
        <v>364415.584416751</v>
      </c>
      <c r="E18" s="261"/>
      <c r="F18" s="57" t="n">
        <f aca="false">'Main calculation'!C30</f>
        <v>2017</v>
      </c>
      <c r="G18" s="159" t="n">
        <v>2</v>
      </c>
      <c r="H18" s="260" t="n">
        <f aca="false">G18*$D$10</f>
        <v>182207.792208375</v>
      </c>
    </row>
    <row r="19" customFormat="false" ht="14.05" hidden="false" customHeight="false" outlineLevel="0" collapsed="false">
      <c r="A19" s="56" t="str">
        <f aca="false">IF('Main calculation'!$B$19=2018, "Starting year --&gt;","" )</f>
        <v/>
      </c>
      <c r="B19" s="57" t="n">
        <f aca="false">'Main calculation'!C31</f>
        <v>2018</v>
      </c>
      <c r="C19" s="159" t="n">
        <v>4</v>
      </c>
      <c r="D19" s="260" t="n">
        <f aca="false">C19*$D$10</f>
        <v>364415.584416751</v>
      </c>
      <c r="E19" s="261"/>
      <c r="F19" s="57" t="n">
        <f aca="false">'Main calculation'!C31</f>
        <v>2018</v>
      </c>
      <c r="G19" s="159" t="n">
        <v>2</v>
      </c>
      <c r="H19" s="260" t="n">
        <f aca="false">G19*$D$10</f>
        <v>182207.792208375</v>
      </c>
    </row>
    <row r="20" customFormat="false" ht="14.05" hidden="false" customHeight="false" outlineLevel="0" collapsed="false">
      <c r="A20" s="56" t="str">
        <f aca="false">IF('Main calculation'!$B$19=2019, "Starting year --&gt;","" )</f>
        <v/>
      </c>
      <c r="B20" s="57" t="n">
        <f aca="false">'Main calculation'!C32</f>
        <v>2019</v>
      </c>
      <c r="C20" s="159" t="n">
        <v>4</v>
      </c>
      <c r="D20" s="260" t="n">
        <f aca="false">C20*$D$10</f>
        <v>364415.584416751</v>
      </c>
      <c r="E20" s="261"/>
      <c r="F20" s="57" t="n">
        <f aca="false">'Main calculation'!C32</f>
        <v>2019</v>
      </c>
      <c r="G20" s="159" t="n">
        <v>2</v>
      </c>
      <c r="H20" s="260" t="n">
        <f aca="false">G20*$D$10</f>
        <v>182207.792208375</v>
      </c>
    </row>
    <row r="21" customFormat="false" ht="14.05" hidden="false" customHeight="false" outlineLevel="0" collapsed="false">
      <c r="A21" s="56" t="str">
        <f aca="false">IF('Main calculation'!$B$19=2020, "Starting year --&gt;","" )</f>
        <v/>
      </c>
      <c r="B21" s="57" t="n">
        <f aca="false">'Main calculation'!C33</f>
        <v>2020</v>
      </c>
      <c r="C21" s="159" t="n">
        <v>4</v>
      </c>
      <c r="D21" s="260" t="n">
        <f aca="false">C21*$D$10</f>
        <v>364415.584416751</v>
      </c>
      <c r="E21" s="261"/>
      <c r="F21" s="57" t="n">
        <f aca="false">'Main calculation'!C33</f>
        <v>2020</v>
      </c>
      <c r="G21" s="159" t="n">
        <v>2</v>
      </c>
      <c r="H21" s="260" t="n">
        <f aca="false">G21*$D$10</f>
        <v>182207.792208375</v>
      </c>
      <c r="L21" s="55"/>
    </row>
    <row r="22" customFormat="false" ht="14.05" hidden="false" customHeight="false" outlineLevel="0" collapsed="false">
      <c r="A22" s="56" t="str">
        <f aca="false">IF('Main calculation'!$B$19=2021, "Starting year --&gt;","" )</f>
        <v/>
      </c>
      <c r="B22" s="57" t="n">
        <f aca="false">'Main calculation'!C34</f>
        <v>2021</v>
      </c>
      <c r="C22" s="159" t="n">
        <v>4</v>
      </c>
      <c r="D22" s="260" t="n">
        <f aca="false">C22*$D$10</f>
        <v>364415.584416751</v>
      </c>
      <c r="E22" s="261"/>
      <c r="F22" s="57" t="n">
        <f aca="false">'Main calculation'!C34</f>
        <v>2021</v>
      </c>
      <c r="G22" s="159" t="n">
        <v>2</v>
      </c>
      <c r="H22" s="260" t="n">
        <f aca="false">G22*$D$10</f>
        <v>182207.792208375</v>
      </c>
    </row>
    <row r="23" customFormat="false" ht="14.05" hidden="false" customHeight="false" outlineLevel="0" collapsed="false">
      <c r="A23" s="56" t="str">
        <f aca="false">IF('Main calculation'!$B$19=2022, "Starting year --&gt;","" )</f>
        <v/>
      </c>
      <c r="B23" s="57" t="n">
        <f aca="false">'Main calculation'!C35</f>
        <v>2022</v>
      </c>
      <c r="C23" s="159" t="n">
        <v>4</v>
      </c>
      <c r="D23" s="260" t="n">
        <f aca="false">C23*$D$10</f>
        <v>364415.584416751</v>
      </c>
      <c r="E23" s="261"/>
      <c r="F23" s="57" t="n">
        <f aca="false">'Main calculation'!C35</f>
        <v>2022</v>
      </c>
      <c r="G23" s="159" t="n">
        <v>2</v>
      </c>
      <c r="H23" s="260" t="n">
        <f aca="false">G23*$D$10</f>
        <v>182207.792208375</v>
      </c>
    </row>
    <row r="24" customFormat="false" ht="14.05" hidden="false" customHeight="false" outlineLevel="0" collapsed="false">
      <c r="A24" s="56" t="str">
        <f aca="false">IF('Main calculation'!$B$19=2023, "Starting year --&gt;","" )</f>
        <v/>
      </c>
      <c r="B24" s="57" t="n">
        <f aca="false">'Main calculation'!C36</f>
        <v>2023</v>
      </c>
      <c r="C24" s="159" t="n">
        <v>4</v>
      </c>
      <c r="D24" s="260" t="n">
        <f aca="false">C24*$D$10</f>
        <v>364415.584416751</v>
      </c>
      <c r="E24" s="261"/>
      <c r="F24" s="57" t="n">
        <f aca="false">'Main calculation'!C36</f>
        <v>2023</v>
      </c>
      <c r="G24" s="159" t="n">
        <v>2</v>
      </c>
      <c r="H24" s="260" t="n">
        <f aca="false">G24*$D$10</f>
        <v>182207.792208375</v>
      </c>
    </row>
    <row r="25" customFormat="false" ht="14.05" hidden="false" customHeight="false" outlineLevel="0" collapsed="false">
      <c r="A25" s="56" t="str">
        <f aca="false">IF('Main calculation'!$B$19=2024, "Starting year --&gt;","" )</f>
        <v/>
      </c>
      <c r="B25" s="57" t="n">
        <f aca="false">'Main calculation'!C37</f>
        <v>2024</v>
      </c>
      <c r="C25" s="159" t="n">
        <v>4</v>
      </c>
      <c r="D25" s="260" t="n">
        <f aca="false">C25*$D$10</f>
        <v>364415.584416751</v>
      </c>
      <c r="E25" s="261"/>
      <c r="F25" s="57" t="n">
        <f aca="false">'Main calculation'!C37</f>
        <v>2024</v>
      </c>
      <c r="G25" s="159" t="n">
        <v>2</v>
      </c>
      <c r="H25" s="260" t="n">
        <f aca="false">G25*$D$10</f>
        <v>182207.792208375</v>
      </c>
    </row>
    <row r="26" customFormat="false" ht="14.05" hidden="false" customHeight="false" outlineLevel="0" collapsed="false">
      <c r="A26" s="56" t="str">
        <f aca="false">IF('Main calculation'!$B$19=2025, "Starting year --&gt;","" )</f>
        <v/>
      </c>
      <c r="B26" s="57" t="n">
        <f aca="false">'Main calculation'!C38</f>
        <v>2025</v>
      </c>
      <c r="C26" s="159" t="n">
        <v>4</v>
      </c>
      <c r="D26" s="260" t="n">
        <f aca="false">C26*$D$10</f>
        <v>364415.584416751</v>
      </c>
      <c r="E26" s="261"/>
      <c r="F26" s="57" t="n">
        <f aca="false">'Main calculation'!C38</f>
        <v>2025</v>
      </c>
      <c r="G26" s="159" t="n">
        <v>2</v>
      </c>
      <c r="H26" s="260" t="n">
        <f aca="false">G26*$D$10</f>
        <v>182207.792208375</v>
      </c>
    </row>
    <row r="27" customFormat="false" ht="14.05" hidden="false" customHeight="false" outlineLevel="0" collapsed="false">
      <c r="A27" s="56" t="str">
        <f aca="false">IF('Main calculation'!$B$19=2026, "Starting year --&gt;","" )</f>
        <v/>
      </c>
      <c r="B27" s="57" t="n">
        <f aca="false">'Main calculation'!C39</f>
        <v>2026</v>
      </c>
      <c r="C27" s="159" t="n">
        <v>4</v>
      </c>
      <c r="D27" s="260" t="n">
        <f aca="false">C27*$D$10</f>
        <v>364415.584416751</v>
      </c>
      <c r="E27" s="261"/>
      <c r="F27" s="57" t="n">
        <f aca="false">'Main calculation'!C39</f>
        <v>2026</v>
      </c>
      <c r="G27" s="159" t="n">
        <v>2</v>
      </c>
      <c r="H27" s="260" t="n">
        <f aca="false">G27*$D$10</f>
        <v>182207.792208375</v>
      </c>
    </row>
    <row r="28" customFormat="false" ht="14.05" hidden="false" customHeight="false" outlineLevel="0" collapsed="false">
      <c r="A28" s="56" t="str">
        <f aca="false">IF('Main calculation'!$B$19=2027, "Starting year --&gt;","" )</f>
        <v/>
      </c>
      <c r="B28" s="57" t="n">
        <f aca="false">'Main calculation'!C40</f>
        <v>2027</v>
      </c>
      <c r="C28" s="159" t="n">
        <v>4</v>
      </c>
      <c r="D28" s="260" t="n">
        <f aca="false">C28*$D$10</f>
        <v>364415.584416751</v>
      </c>
      <c r="E28" s="261"/>
      <c r="F28" s="57" t="n">
        <f aca="false">'Main calculation'!C40</f>
        <v>2027</v>
      </c>
      <c r="G28" s="159" t="n">
        <v>2</v>
      </c>
      <c r="H28" s="260" t="n">
        <f aca="false">G28*$D$10</f>
        <v>182207.792208375</v>
      </c>
    </row>
    <row r="29" customFormat="false" ht="14.05" hidden="false" customHeight="false" outlineLevel="0" collapsed="false">
      <c r="A29" s="56" t="str">
        <f aca="false">IF('Main calculation'!$B$20=2028, "Finishing year --&gt;","" )</f>
        <v>Finishing year --&gt;</v>
      </c>
      <c r="B29" s="57" t="n">
        <f aca="false">'Main calculation'!C41</f>
        <v>2028</v>
      </c>
      <c r="C29" s="159" t="n">
        <v>4</v>
      </c>
      <c r="D29" s="260" t="n">
        <f aca="false">C29*$D$10</f>
        <v>364415.584416751</v>
      </c>
      <c r="E29" s="261"/>
      <c r="F29" s="57" t="n">
        <f aca="false">'Main calculation'!C41</f>
        <v>2028</v>
      </c>
      <c r="G29" s="159" t="n">
        <v>2</v>
      </c>
      <c r="H29" s="260" t="n">
        <f aca="false">G29*$D$10</f>
        <v>182207.792208375</v>
      </c>
    </row>
    <row r="30" customFormat="false" ht="14.05" hidden="false" customHeight="false" outlineLevel="0" collapsed="false">
      <c r="A30" s="56" t="str">
        <f aca="false">IF('Main calculation'!$B$20=2029, "Finishing year --&gt;","" )</f>
        <v/>
      </c>
      <c r="B30" s="57" t="n">
        <f aca="false">'Main calculation'!C42</f>
        <v>2029</v>
      </c>
      <c r="C30" s="159"/>
      <c r="D30" s="260" t="n">
        <f aca="false">C30*$D$10</f>
        <v>0</v>
      </c>
      <c r="E30" s="261"/>
      <c r="F30" s="57" t="n">
        <f aca="false">'Main calculation'!C42</f>
        <v>2029</v>
      </c>
      <c r="G30" s="159"/>
      <c r="H30" s="260" t="n">
        <f aca="false">G30*$D$10</f>
        <v>0</v>
      </c>
    </row>
    <row r="31" customFormat="false" ht="14.05" hidden="false" customHeight="false" outlineLevel="0" collapsed="false">
      <c r="A31" s="56" t="str">
        <f aca="false">IF('Main calculation'!$B$20=2030, "Finishing year --&gt;","" )</f>
        <v/>
      </c>
      <c r="B31" s="57" t="n">
        <f aca="false">'Main calculation'!C43</f>
        <v>2030</v>
      </c>
      <c r="C31" s="159"/>
      <c r="D31" s="260" t="n">
        <f aca="false">C31*$D$10</f>
        <v>0</v>
      </c>
      <c r="E31" s="261"/>
      <c r="F31" s="57" t="n">
        <f aca="false">'Main calculation'!C43</f>
        <v>2030</v>
      </c>
      <c r="G31" s="159"/>
      <c r="H31" s="260" t="n">
        <f aca="false">G31*$D$10</f>
        <v>0</v>
      </c>
    </row>
    <row r="32" customFormat="false" ht="14.05" hidden="false" customHeight="false" outlineLevel="0" collapsed="false">
      <c r="A32" s="56" t="str">
        <f aca="false">IF('Main calculation'!$B$20=2031, "Finishing year --&gt;","" )</f>
        <v/>
      </c>
    </row>
    <row r="33" customFormat="false" ht="14.05" hidden="false" customHeight="false" outlineLevel="0" collapsed="false">
      <c r="A33" s="56" t="str">
        <f aca="false">IF('Main calculation'!$B$20=2032, "Finishing year --&gt;","" )</f>
        <v/>
      </c>
    </row>
    <row r="34" customFormat="false" ht="14.05" hidden="false" customHeight="false" outlineLevel="0" collapsed="false">
      <c r="A34" s="56" t="str">
        <f aca="false">IF('Main calculation'!$B$20=2033, "Finishing year --&gt;","" )</f>
        <v/>
      </c>
    </row>
  </sheetData>
  <mergeCells count="1">
    <mergeCell ref="A3:I3"/>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LibreOffice/5.3.6.1$Linux_X86_64 LibreOffice_project/30$Build-1</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2019-11-30T19:06:08Z</dcterms:created>
  <dc:creator/>
  <dc:description>Usually this&lt;a href="https://www.bestsamples.org/cost-benefit-analysis-templates-3600.html"&gt; professional cost benefit analysis template&lt;/a&gt; is used in various sectors.  A company can do analysis in a better way by the using of this cost benefit analysis. This specific  analysis will certainly help you to get higher returns and reducing risk factor in your business. It is created in Open Office Writer and easy to download. So grasp this and feel free to download.</dc:description>
  <cp:keywords>Cost Benefit Analysis Template Sample Anaylsis Templates Printable Analysis</cp:keywords>
  <dc:language>en-US</dc:language>
  <cp:lastModifiedBy/>
  <cp:revision>1</cp:revision>
  <dc:subject>Analysis Templates</dc:subject>
  <dc:title>Online Cost Benefit Analysis Template</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icense">
    <vt:lpwstr>&lt;a href="https://www.bestsamples.org/"&gt;BestSamples&lt;/a&gt;</vt:lpwstr>
  </property>
</Properties>
</file>